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hụ lục công khai đợt 1" sheetId="1" r:id="rId1"/>
  </sheets>
  <definedNames>
    <definedName name="_xlnm.Print_Area" localSheetId="0">'phụ lục công khai đợt 1'!$A$1:$G$328</definedName>
    <definedName name="_xlnm.Print_Titles" localSheetId="0">'phụ lục công khai đợt 1'!$3:$4</definedName>
  </definedNames>
  <calcPr fullCalcOnLoad="1"/>
</workbook>
</file>

<file path=xl/sharedStrings.xml><?xml version="1.0" encoding="utf-8"?>
<sst xmlns="http://schemas.openxmlformats.org/spreadsheetml/2006/main" count="634" uniqueCount="280">
  <si>
    <t>STT</t>
  </si>
  <si>
    <t>Họ tên và tài sản bị ảnh hưởng</t>
  </si>
  <si>
    <t>ĐVT</t>
  </si>
  <si>
    <t>Khối lượng</t>
  </si>
  <si>
    <t>Đơn giá (đồng)</t>
  </si>
  <si>
    <t>Hệ số</t>
  </si>
  <si>
    <t>Thành tiền (đồng)</t>
  </si>
  <si>
    <t>Giá trị đề nghị bồi thường, hỗ trợ</t>
  </si>
  <si>
    <t>I</t>
  </si>
  <si>
    <t>Kinh phí bồi thường, hỗ trợ</t>
  </si>
  <si>
    <t>m2</t>
  </si>
  <si>
    <t>Đất trồng lúa nước</t>
  </si>
  <si>
    <t>Am lớn</t>
  </si>
  <si>
    <t>Cái</t>
  </si>
  <si>
    <t>Di chuyển hệ thống điện sinh hoạt</t>
  </si>
  <si>
    <t>m dài</t>
  </si>
  <si>
    <t>Di chuyển hệ thống nước sinh hoạt</t>
  </si>
  <si>
    <t>Cây</t>
  </si>
  <si>
    <t>Chuối giữa vụ</t>
  </si>
  <si>
    <t>Ổi fi (7-10)cm</t>
  </si>
  <si>
    <t>Sầu đông fi (7-10)cm</t>
  </si>
  <si>
    <t>Đu đủ giữa vụ</t>
  </si>
  <si>
    <t xml:space="preserve">Cây </t>
  </si>
  <si>
    <t>Keo fi (4-6)cm</t>
  </si>
  <si>
    <t>Keo fi (7-10)cm</t>
  </si>
  <si>
    <t>Chanh tán rộng 1m</t>
  </si>
  <si>
    <t>Thơm giữa vụ</t>
  </si>
  <si>
    <t>Xả xả</t>
  </si>
  <si>
    <t>Di chuyển hệ thống internet</t>
  </si>
  <si>
    <t>Nhà: móng BTCT kết hợp gạch đá,cột BTCT, tường gạch, mái ngói, nền lót gạch men, không có khu phụ trong nhà, kích thước: (5,2*8,9) + (6.4*8,6)m</t>
  </si>
  <si>
    <t>Hiên nhà móng BTCT kết hợp gạch đá, trụ BTCt, mái ngói, nền gạch men, kích thước: (2,0*8,9)m</t>
  </si>
  <si>
    <t>Nhà móng xây gạch đá, tường xây bờ lô, mái tôn, nền láng vữa xi măng, không có khu phụ trong nhà, kích thước: (3,3*6,8)m</t>
  </si>
  <si>
    <t>Nhà trụ BTCT, tường bờ lô, che chắn gỗ tôn, mái tôn, nền xi măng, kích thước: (3,4*8,5) + (1,2*4,3)m</t>
  </si>
  <si>
    <t>Mái che mái tôn, trụ BTCT, khung sắt, nền  xi măng, kích thước: (5,6*6,4)m</t>
  </si>
  <si>
    <t>Chuồng heo trường xây bờ lô cao 1m, nền xi măng, mái tôn kích thước: (3,4*3,3)m</t>
  </si>
  <si>
    <t>Nhà vệ sinh riêng biệt, mái tôn, nền gạch men, tường lát gạch men, kích thước: (1,7*2,8)m</t>
  </si>
  <si>
    <t>Mộ xây bao kim hình chữ nhật, mộ chôn trên 5 năm, kích thước: (1,5*1,6) * 5 mộ</t>
  </si>
  <si>
    <t>diện tích sân xi măng , kích thước: (11,1*6,1) + (2,4*3,1) + (10,0*2,1)m</t>
  </si>
  <si>
    <t>Cửa sắt kích thước: (2,2*3,1)m</t>
  </si>
  <si>
    <t>Trụ cổng xây bờ lô, kích thước: (0,5*0,5*2,5)* 2 trụ</t>
  </si>
  <si>
    <t xml:space="preserve">Gạch men ốp trụ kích thước: (2,0*2,5)*2 </t>
  </si>
  <si>
    <t>Bể cá có chứa hòn non bộ cao &lt;1,6m</t>
  </si>
  <si>
    <t>Hòn</t>
  </si>
  <si>
    <t>Bể chứa hòn non bộ, kích thước: (2,4*1,3)+ (2,5*2,0)m</t>
  </si>
  <si>
    <t>Diện tích ốp men kích thước: (5,5*5,1)m</t>
  </si>
  <si>
    <t>Giếng đúc bi BTCT, đường kính 1,0m, sâu 10,5m</t>
  </si>
  <si>
    <t>Đan bếp BTCT kích thước: (2,1*0,7*0,1)m</t>
  </si>
  <si>
    <t>Diện tích gạch men bếp: (1,8*2,1)m</t>
  </si>
  <si>
    <t>Trụ đỡ xây gạch thẻ kích thước: (0,9*0,7*0,15)*3 trụ</t>
  </si>
  <si>
    <t>Diện tích la phông tôn, kích thước: (7,4*5,0)m</t>
  </si>
  <si>
    <t>Hàng rào xây bờ lô, móng đá không trừa khe thoáng, kích thước: (12,4+7,8+4,5+40,5) * 0,8m</t>
  </si>
  <si>
    <t>Lưới thép B40 kích thước: (12,4+7,8+4,5+3,0+40,5) * 1,5m</t>
  </si>
  <si>
    <t>Trụ BTCT kích thước: (0,15*0,15*1,5)*27 trụ</t>
  </si>
  <si>
    <t xml:space="preserve">Dừa cao 1,5m </t>
  </si>
  <si>
    <t>Mai cảnh fi (2-4)cm</t>
  </si>
  <si>
    <t>Cau cao 8-10m</t>
  </si>
  <si>
    <t>Cau con (mới trồng 1 năm)</t>
  </si>
  <si>
    <t>Mít fi (15-20)cm</t>
  </si>
  <si>
    <t>Rau ngót</t>
  </si>
  <si>
    <t>Lá lốt kích thước:(3*3)m</t>
  </si>
  <si>
    <t>Xoài fi (10-15)cm</t>
  </si>
  <si>
    <t>Đào fi (7-10)cm</t>
  </si>
  <si>
    <t>Cây mứt fi (7-10)cm</t>
  </si>
  <si>
    <t>Cam tán rộng 1,2m</t>
  </si>
  <si>
    <t>Nhãn fi (4-6)cm</t>
  </si>
  <si>
    <t>Mãn cầu fi (4-6)cm</t>
  </si>
  <si>
    <t>Me fi (7-10)cm</t>
  </si>
  <si>
    <t>Mía</t>
  </si>
  <si>
    <t>Sung cảnh fi (10-15)cm</t>
  </si>
  <si>
    <t>Lộc vừng fi (10-12)cm</t>
  </si>
  <si>
    <t>Vạng tuế (cảnh) fi (15-20)cm</t>
  </si>
  <si>
    <t>Tb</t>
  </si>
  <si>
    <t>Trầu</t>
  </si>
  <si>
    <t>Choái</t>
  </si>
  <si>
    <t>Mía giữa vụ</t>
  </si>
  <si>
    <t>Lồ ô</t>
  </si>
  <si>
    <t>Am nhỏ</t>
  </si>
  <si>
    <t>Khế fi (1-2)cm</t>
  </si>
  <si>
    <t>Bụi</t>
  </si>
  <si>
    <t>Riềng</t>
  </si>
  <si>
    <t>Trứng cá fi (15-20)cm</t>
  </si>
  <si>
    <t>Cau mới trồng</t>
  </si>
  <si>
    <t>m</t>
  </si>
  <si>
    <t>Thửa 213:</t>
  </si>
  <si>
    <t>Lúa giữa vụ</t>
  </si>
  <si>
    <t>Thửa 219:</t>
  </si>
  <si>
    <t>Mít fi (10-15)cm</t>
  </si>
  <si>
    <t>Lộc vừng fi (15-20)cm</t>
  </si>
  <si>
    <t>Nhà trên: móng BTCT, tường chịu lực, mái ngói, nền lát gạch men, kích thước: (5,4*8,2)m</t>
  </si>
  <si>
    <t>Hiên nhà trên: Móng BTCT, trụ BTCT, mái tôn, nền lát gạch men có tằng nhựa,kích thước: (2,9*8,2)m</t>
  </si>
  <si>
    <t>Mái che: trụ sắt, khung sắt, mái tôn, nền xi măng, kích thước: (5,1*3,9)m</t>
  </si>
  <si>
    <t>Mái che: trụ sắt + BTCT, khung gỗ + tre, mái lợp tôn fibro xi măng, nền xi măng, kích thước: (8,3*4,3)m</t>
  </si>
  <si>
    <t>Chuồng heo: tường xây bờ lô, cao 1,0m, nền BT, mái tôn, kích thước: (3,2*2,4)m</t>
  </si>
  <si>
    <t>Mái che: trụ gỗ tre, khung gỗ tre, mái tôn, nèn xi măng, kích thước: (2,0*2,4)m</t>
  </si>
  <si>
    <t>Đan bếp BTCT kích thước: (2,9*0,7*0,1)m)m</t>
  </si>
  <si>
    <t>Trụ đỡ, kích thước: (0,7*0,8*0,12)m</t>
  </si>
  <si>
    <t>Diện tích ốp men bếp, kích thước: (2,9*0,7) + (3,8*0,6)m</t>
  </si>
  <si>
    <t>Diện tích ốp gạch men wc: (6,3*1,6) + (5,3*0,8)m</t>
  </si>
  <si>
    <t>Diện tích ốp gạch men nhà dưới: ((6,2+8,0+3,1)*1,4m) + ((4,7*3,0) - (0,7*2,2) - (1,6*1,4))m</t>
  </si>
  <si>
    <t>Diện tích ốp gạch men nhà trên: ((8,2+3,7+7,3)*1,4)m + (10,0*3,0) - ((1,2*2,4)*4)m</t>
  </si>
  <si>
    <t>Diện tích ốp gạch men trụ hiên: (0,8*3,0)m*4 trụ</t>
  </si>
  <si>
    <t>Diện tích ốp men nhà sau: (6,8*1,2)m</t>
  </si>
  <si>
    <t>Cửa sắt, kích thước: (3,7*2,2)m</t>
  </si>
  <si>
    <t>Hàng rào, móng đá, tường xây bờ lô, không trừa khe thoáng, kích thước: (10,6*1,1)* dày 0,15m</t>
  </si>
  <si>
    <t>Khung thép B40, kích thước: (10,4*1,5)m</t>
  </si>
  <si>
    <t>Trụ BTCT, kích thước: (0,15*0,15*1,5)*5 trụ</t>
  </si>
  <si>
    <t>Giếng bi fi 1,0m, sâu 11,0m</t>
  </si>
  <si>
    <t>Cau cao 10m</t>
  </si>
  <si>
    <t>Cau cao 2m</t>
  </si>
  <si>
    <t>Mít fi 30cm</t>
  </si>
  <si>
    <t>Mít fi 15cm</t>
  </si>
  <si>
    <t>Nhãn fi 18cm</t>
  </si>
  <si>
    <t>Xoài fi (7-10)cm</t>
  </si>
  <si>
    <t>Sầu đông fi 20cm</t>
  </si>
  <si>
    <t>Mứt fi 15cm</t>
  </si>
  <si>
    <t>Hóp bụi</t>
  </si>
  <si>
    <t>bụi</t>
  </si>
  <si>
    <t>Rau lốt</t>
  </si>
  <si>
    <t>Mai cảnh fi (7-10)cm</t>
  </si>
  <si>
    <t>Thần tài fi (7-10)cm</t>
  </si>
  <si>
    <t>Chanh trồng 2 năm</t>
  </si>
  <si>
    <t>Cây cảnh thân thảo</t>
  </si>
  <si>
    <t>Khế fi (15-20)cm</t>
  </si>
  <si>
    <t>Mít fi (25-30)cm</t>
  </si>
  <si>
    <t>Mớt fi (15-20)cm</t>
  </si>
  <si>
    <t>Sầu đông fi (10-15)cm</t>
  </si>
  <si>
    <t xml:space="preserve">Rau lốt </t>
  </si>
  <si>
    <t>Bông ngót</t>
  </si>
  <si>
    <t>Trụ cổng BTCT, kích thước: (0,3*0,3*3,0)*2,0m</t>
  </si>
  <si>
    <t>Đan bếp BTCT, kích thước: (0,7*3,8*0,15)m</t>
  </si>
  <si>
    <t>Mái che: khung sắt, mái ngói, kích thước: (3,0*1,1)m</t>
  </si>
  <si>
    <t>Hàng rào sắt hộp, kích thước: (9,4*1,4)m</t>
  </si>
  <si>
    <t>Gạch men ốp bể cá, kích thước: (6,0*0,4) + (8,6*3,4)m + (4,4 *0,13)m + (1,8*1,0)m</t>
  </si>
  <si>
    <t>Hồ có hòn non bộ, xây bờ lô cao 0,4m, dày 0,12m, kích thước: (2,0*1,2)m</t>
  </si>
  <si>
    <t>Lộc vừng fi (10-15)cm</t>
  </si>
  <si>
    <t>Lộc vừng fi (7-10)cm</t>
  </si>
  <si>
    <t>Cau cao 1m</t>
  </si>
  <si>
    <t>Bông giấy fi (4-6)cm</t>
  </si>
  <si>
    <t>Kè chắn đất, xây bờ lô, kích thước: (3,6*0,25*0,15)*2</t>
  </si>
  <si>
    <t>Sến fi (25-30)cm</t>
  </si>
  <si>
    <t>Mãng cầu xiêm fi (7-10)cm</t>
  </si>
  <si>
    <t>Mít fi (4-6)cm</t>
  </si>
  <si>
    <t>Ổi fi (2-4)cm</t>
  </si>
  <si>
    <t>Mớt fi (7-10)cm</t>
  </si>
  <si>
    <t>Thanh long thời kì thu hoạch</t>
  </si>
  <si>
    <t>Bang (sơ vai) fi (1-2)cm</t>
  </si>
  <si>
    <t>Nhà: khung móng BTCT kết hợp gạch đá, tường gạch, mái ngói, nền lát gạch men, kích thước: (8,5*5,4)m</t>
  </si>
  <si>
    <t>Hiên nhà: móng BTCT kết hợp gạch đá, trụ BTCT, có sê nô bao quanh, nền gạch men, kích thước: (8,5*3,0)m</t>
  </si>
  <si>
    <t>Nhà: móng xây gạch đá, tường gạch, mái tôn, nền xi măng, có khu phụ trong nhà, kích thước: (5,4*3,0)m</t>
  </si>
  <si>
    <t>Nhà: móng BT, cột BTCT, tường chịu lực xây gạch, mái tôn fibro xi măng, nền lót gạch, có khu phụ trong nhà, kích thước: (5,7*8,5) + (0,4*2,7)m</t>
  </si>
  <si>
    <t>Mái che: mái tôn, trụ sắt, đòn tay sắt, hệ thống đỡ mái bằng sắt hộp, nền xi măng, kích thước: (9,2*7,0) + (9,9*6,9) + (3,0*3,0)m</t>
  </si>
  <si>
    <t>Nhà: trụ gỗ, tường ván, mái tôn, nền xi măng, kích thước; (3,0*2,4)m</t>
  </si>
  <si>
    <t>Mái che: trụ gỗ, khung gỗ, mái tôn fibro xi măng, kích thước: (1,2*8,9)m</t>
  </si>
  <si>
    <t>Mái che tạm: trụ tre, mái lợp bạt, che chắn gỗ + bạt, kích thước: (2,0*3,0)m</t>
  </si>
  <si>
    <t>Chuồng heo xây bờ lô cao 1,2m, nền bê tông xi măng kiên cố, mái tôn, kích thước: (5,4*2,8)m</t>
  </si>
  <si>
    <t>Chuồng gà vịt thô sơ, mái lợp bạt, nền đất, kích thước: (2,2*2,8) + (2,8*2,8)m</t>
  </si>
  <si>
    <t>Khối xây bờ lô, kích thước: (4,6*1,3*0,12)m</t>
  </si>
  <si>
    <t>Đan bếp BTCT, kích thước: (2,4*0,6*0,1)m</t>
  </si>
  <si>
    <t>Diện tích gạch men bếp: (1,2*2,4)m</t>
  </si>
  <si>
    <t>Trụ đỡ xây gạch, kích thước: (0,15*0,6*0,9)m* 3 trụ</t>
  </si>
  <si>
    <t>Bể chứa nước, kích thước: (0,7*1,5*1,0)m</t>
  </si>
  <si>
    <t>Diện tích gạch men phòng tắm: (5,3*1,6)m</t>
  </si>
  <si>
    <t>Diện tích gạch men WC kích thước: (5,5*1,2)m</t>
  </si>
  <si>
    <t>Lưới B40, kích thước: (11,4+4,6+17,0+11,4+33+19,5+13,0)*1,5m</t>
  </si>
  <si>
    <t>Cửa sắt, kích thước: (3,2*1,8)m</t>
  </si>
  <si>
    <t>Trụ BTCT, kích thước: (0,15*0,15*1,8)m*46 trụ</t>
  </si>
  <si>
    <t>Diện tích xi măng, kich thước: (6,8*4,8) + (1,8*3,7)m</t>
  </si>
  <si>
    <t>Diện tích ốp gạch men trụ, kích thước: (0,8*2,8)*4 trụ</t>
  </si>
  <si>
    <t>Chanh tán rộng (1,5-2)m</t>
  </si>
  <si>
    <t>Chuối con</t>
  </si>
  <si>
    <t>Mãng cầu fi (7-10)cm</t>
  </si>
  <si>
    <t>Thần tài fi (1-2)cm</t>
  </si>
  <si>
    <t>Me fi 15cm</t>
  </si>
  <si>
    <t>Cau trồng 1 năm</t>
  </si>
  <si>
    <t>Môn</t>
  </si>
  <si>
    <t>Cóc fi (10-15)cm</t>
  </si>
  <si>
    <t>Cau cao (8-10)m</t>
  </si>
  <si>
    <t>Xương rồng fi (7-10)cm</t>
  </si>
  <si>
    <t>Sến fi (2-4)cm</t>
  </si>
  <si>
    <t>Hàng rào chè tàu, dài 6,5m, cao 1,0m</t>
  </si>
  <si>
    <t>Giếng bi BT đường kính 1,2m</t>
  </si>
  <si>
    <t>Nhà: nhà vệ sinh riêng biệt, xây bờ lô 1 tầng, mái tôn fibro xi măng, nền gạch men, tường ốp gạch men, kích thước: (3,2*3,2)m</t>
  </si>
  <si>
    <t>Chuồng heo: tường xây bờ lô cao &gt;2m nền bê tông, mái ngói, kích thước: (3,5*3,0)m</t>
  </si>
  <si>
    <t>Mái che: trụ BTCT, đòn tay gỗ, mái tôn, kích thước: (7,3*6,2) + (3,0*5,2) + (5,5*4,5)m</t>
  </si>
  <si>
    <t>Sân xi măng, kích thước: (6,2*7,3) + (5,5*4,5)m</t>
  </si>
  <si>
    <t>Đan BTCT, kích thước: (1,8*0,6*0,1)m</t>
  </si>
  <si>
    <t>Trụ đỡ xây gạch, kích thước: (0,9*0,6*0,1)*2</t>
  </si>
  <si>
    <t>Gạch men bếp kích thước: (2,4*0,8) + (0,7*1,8)m</t>
  </si>
  <si>
    <t>Bể nước xây bờ lô, kích thước: (3,1*3,4*1,1)m</t>
  </si>
  <si>
    <t>Diện tích gạch terazo: (5,0*4,1)m</t>
  </si>
  <si>
    <t>Giếng bi xây BTCT fi 1,1m, sâu 11m</t>
  </si>
  <si>
    <t>Trụ BTCT, kích thước: (0,15*0,15*2,0)m*20 trụ</t>
  </si>
  <si>
    <t>Keo trồng 2 năm</t>
  </si>
  <si>
    <t>Dừa cao 3m</t>
  </si>
  <si>
    <t>Sầu đâu fi (1-2)cm</t>
  </si>
  <si>
    <t>Quất tán 1m</t>
  </si>
  <si>
    <t>Mít fi (35-40)cm</t>
  </si>
  <si>
    <t>Mít fi (2-3)cm</t>
  </si>
  <si>
    <t>Cau cao (0,5-1)m</t>
  </si>
  <si>
    <t>Bí đao</t>
  </si>
  <si>
    <t>Sến fi (7-10)cm</t>
  </si>
  <si>
    <t>Sắn</t>
  </si>
  <si>
    <t>Mít fi (20-25)cm</t>
  </si>
  <si>
    <t>m3</t>
  </si>
  <si>
    <t>cái</t>
  </si>
  <si>
    <t>m sâu</t>
  </si>
  <si>
    <t>Xa xả</t>
  </si>
  <si>
    <r>
      <t>m</t>
    </r>
    <r>
      <rPr>
        <vertAlign val="superscript"/>
        <sz val="13"/>
        <color indexed="8"/>
        <rFont val="Times New Roman"/>
        <family val="1"/>
      </rPr>
      <t>2</t>
    </r>
  </si>
  <si>
    <t>Hóp bụi &gt;10 cây</t>
  </si>
  <si>
    <t>Keo fi (7-10)cm mật độ 100% diện tích</t>
  </si>
  <si>
    <t>Tường rào không trừa khe thoáng, xây gạch, móng đá cao 2,6m, dài 3,0m</t>
  </si>
  <si>
    <t>Dừa cao 4-6m</t>
  </si>
  <si>
    <t>Sầu đông fi (2-4)cm</t>
  </si>
  <si>
    <t>Mộ xây bao kim hình chữ nhật, mộ chôn trên 5 năm, kích thước: (1,5x2,0)m</t>
  </si>
  <si>
    <t>Mộ đất hình tròn, chôn trên 5 năm</t>
  </si>
  <si>
    <t>Bang (cây lấy củi)</t>
  </si>
  <si>
    <t>Mộ</t>
  </si>
  <si>
    <t>Tre fi (5-10)cm</t>
  </si>
  <si>
    <t>Mộ đất chôn trên 5 năm, diện tích 2,5m</t>
  </si>
  <si>
    <t xml:space="preserve">Cái </t>
  </si>
  <si>
    <t>Mộ đất chôn trên 5 năm, diện tích 9,0m</t>
  </si>
  <si>
    <t>Sân xi măng, kích thước: (10,0*7,1) + (1,8*3,7) + (4,7*3,1) + (1,6*11,9) + (1,6*6,2)m</t>
  </si>
  <si>
    <t>Hổ trợ chuyển đổi nghề bằng 5 lần giá đất</t>
  </si>
  <si>
    <t>Nhà dưới: Nhà khung móng BT kết hợp gạch đá tường xây gạch, mái ngói, nền lát gạch, có đóng tầng nhựa, kích thước: (5,1*8,3)m</t>
  </si>
  <si>
    <t>Hòn non bộ, cao dưới 1,6m</t>
  </si>
  <si>
    <t>mSâu</t>
  </si>
  <si>
    <t>ha</t>
  </si>
  <si>
    <t>Nhà: móng BTCT kết hợp xây gạch đá, cột BTCT, tường xây blô, mái tôn, đòn tay sắt,nền gạch men, có khu phụ trong nhà, kích thước: (7,4x5,1)m+(12,2x5,1)m</t>
  </si>
  <si>
    <t>Mái che: khung sắt, mái tôn, nền xi măng, kích thước: (2,0*12,2) + (2,0*8,8)+(0,4*21)m</t>
  </si>
  <si>
    <t>Thơm có quả</t>
  </si>
  <si>
    <r>
      <t xml:space="preserve">Lộc Vừng fi </t>
    </r>
    <r>
      <rPr>
        <sz val="13"/>
        <color indexed="8"/>
        <rFont val=".VnArial Narrow"/>
        <family val="2"/>
      </rPr>
      <t>&gt;15cm</t>
    </r>
  </si>
  <si>
    <t>Mớt (mức) fi (15-20)cm</t>
  </si>
  <si>
    <t>Mộ kim tròn fi 1,5m an táng trên 3 năm</t>
  </si>
  <si>
    <t>Nhà sau: nhà móng xây đá hoặc gạch, tường xây bờ lô, mái tôn, nền lát gạch men, có khu phụ trong nhà, kích thước: (3,6*14,5)m</t>
  </si>
  <si>
    <t>Hàng rào: móng xây đá, tường xây bờ lô, có trừa khe thoáng, kích thước: (15,9*0,8)m</t>
  </si>
  <si>
    <t>Hàng rào: móng xây đá, tường xây bờ lô, không trừa khe thoáng, kích thước: (15,9*1,7)m</t>
  </si>
  <si>
    <t>Mái che: trụ BTCT, khung sắt,mái tôn, nền xi măng, kích thước: 9,6*6,8m</t>
  </si>
  <si>
    <t>Sân xi măng: (1,0*6,8) + (3,6*6,2)/2m</t>
  </si>
  <si>
    <t>Ông Dương Chí Thành và Bà Nguyễn Thị Nhung (Thửa 163)</t>
  </si>
  <si>
    <t>Cây hoa hồng fi (2-3)cm</t>
  </si>
  <si>
    <t>Ông Nguyễn Văn Hà và Bà Nguyễn Thị Mai Khuyên (Thửa 165)</t>
  </si>
  <si>
    <t>Hỗ trợ 50% giá đất ở khu dân cư nông thôn vị trí 1 Tỉnh lộ 14B (đoạn ngã ba La Sơn đến hết ranh giới trường thế hệ mới) đối với diện tích đất vườn, ao bị thu hồi</t>
  </si>
  <si>
    <t>Đất Trồng cây lâu năm vị trí 1</t>
  </si>
  <si>
    <t>Đất trồng cây lâu năm (đất vườn) vị trí 1</t>
  </si>
  <si>
    <t>Hiên nhà:  móng BTCT kết hợp xây gạch đá, cột BTCT, mái tôn, đòn tay sắt,nền gạch men, kích thước: (1,4*5,1)m</t>
  </si>
  <si>
    <t>Ông Ngô Đức Lâm và Bà Võ Thị Ngọc (Thửa 168)</t>
  </si>
  <si>
    <t>Hỗ trợ 50% giá đất ở khu dân cư nông thôn vị trí 1 xã Lộc Sơn đối với diện tích đất vườn, ao bị thu hồi</t>
  </si>
  <si>
    <t>Đất Trồng cây lâu năm (đất vườn) vị trí 1</t>
  </si>
  <si>
    <t>Ông Trần Văn Ngọt và Bà Hồ Thị Ngọc Anh (Thửa 171)</t>
  </si>
  <si>
    <t>Diện tích ốp gạch men be (virada): (13,7+8,8)*0,2m</t>
  </si>
  <si>
    <t>Bà Lê Thị Lài là người đại diện của những người được thừa kế QSDĐ gồm ông Ngô Đức Ly, ông Ngô Đức Quốc và bà Ngô Thị Bấp (Thửa 170)</t>
  </si>
  <si>
    <t xml:space="preserve">Đất ở nông thôn vị trí 1 xã Lộc Sơn </t>
  </si>
  <si>
    <t>Ông Ngô Đức Thuấn và Bà Lê Thị Nở (Thửa 196)</t>
  </si>
  <si>
    <t xml:space="preserve">Đất Trồng cây lâu năm khu vực 1, vị trí 1 </t>
  </si>
  <si>
    <t>Ông Ngô Đức Mãng và Bà Trần Thị Đấu (Thửa 204 và 229)</t>
  </si>
  <si>
    <t>Thửa 204:</t>
  </si>
  <si>
    <t xml:space="preserve">Đất Trồng cây lâu năm vị trí 1 </t>
  </si>
  <si>
    <t xml:space="preserve">Hỗ trợ 2 lần giá đất cùng loại đất trồng cây hàng năm khác  khu vực 1, vị trí 1 xã Lộc Sơn </t>
  </si>
  <si>
    <t>Thửa 229:</t>
  </si>
  <si>
    <t xml:space="preserve">Đất Trồng cây hàng năm khác, vị trí 1 </t>
  </si>
  <si>
    <t>Bà Lê Thị Hồng Mai và các đồng thừa kế của ông Nguyễn Công Hoan (Thửa 236)</t>
  </si>
  <si>
    <t>Bà Lê Thị Con (Lê Thị Quy), (Thửa 233)</t>
  </si>
  <si>
    <t>Ông Lê Chiêm và Bà Hà Thị Lụa (Thửa 231)</t>
  </si>
  <si>
    <t>Bà Lê Thị Gái  (Thửa 224)</t>
  </si>
  <si>
    <t>Ông Ngô Ngọc Tân  (Thửa 234)</t>
  </si>
  <si>
    <t>Ông Thái Đình Tưởng (Thửa 246)</t>
  </si>
  <si>
    <t>Ông Ngô Ngọc Tăng và Bà Ngô Thị Là (Thửa 245)</t>
  </si>
  <si>
    <t xml:space="preserve">Đất Trồng cây lâu năm, vị trí 1 </t>
  </si>
  <si>
    <t>Hỗ trợ 1,5 lần giá đất cùng loại đất trồng cây lâu năm khu vực 1, vị trí 1</t>
  </si>
  <si>
    <t>Ông Lê Đình Hiếu và Bà Phan Thị Kim Thuận (Thửa 249)</t>
  </si>
  <si>
    <t>Đất Trồng cây lâu năm khu vực 1, vị trí 1</t>
  </si>
  <si>
    <t>Ông Trần Hữu Ngưu và Bà Nguyễn Thị Bướm (Thửa 304)</t>
  </si>
  <si>
    <t>PHỤ LỤC: PHƯƠNG ÁN BỒI THƯỜNG, HỖ TRỢ VỀ ĐẤT VÀ TÀI SẢN BỊ ẢNH HƯỞNG CHO HỘ GIA ĐÌNH, CÁ NHÂN  KHI NHÀ NƯỚC THU HỒI ĐẤT ĐỂ THỰC HIỆN DỰ ÁN ĐƯỜNG GIAO THÔNG TRỤC TRUNG TÂM ĐÔ THỊ MỚI LA SƠN (ĐỢT 1)</t>
  </si>
  <si>
    <t>Bà Ngô Thị Đị  (Thửa 214 )</t>
  </si>
  <si>
    <t>Bà: Huỳnh Thị Vân; (Thửa 213 và 219)</t>
  </si>
  <si>
    <t>Ông Ngô Ngọc Mờm và Bà Đặng Thị Hẹ (Thửa 226)</t>
  </si>
  <si>
    <t>Khối xây gạch ốp trụ cổng, kích thước: (1,6*0,1*2,7)*2</t>
  </si>
  <si>
    <t>4.2</t>
  </si>
  <si>
    <t xml:space="preserve"> (Kèm theo Thông báo số: 146/TB-PTQĐ  ngày 21 tháng 4 năm 2020 của Trung tâm Phát triển quỹ đất huyện Phú Lộc)</t>
  </si>
  <si>
    <t>Cửa sắt hộp, kích thước: (2,6*2,15)m</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</si>
</sst>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đ&quot;_);\(#,##0&quot;đ&quot;\)"/>
    <numFmt numFmtId="173" formatCode="#,##0&quot;đ&quot;_);[Red]\(#,##0&quot;đ&quot;\)"/>
    <numFmt numFmtId="174" formatCode="#,##0.00&quot;đ&quot;_);\(#,##0.00&quot;đ&quot;\)"/>
    <numFmt numFmtId="175" formatCode="#,##0.00&quot;đ&quot;_);[Red]\(#,##0.00&quot;đ&quot;\)"/>
    <numFmt numFmtId="176" formatCode="_ * #,##0_)&quot;đ&quot;_ ;_ * \(#,##0\)&quot;đ&quot;_ ;_ * &quot;-&quot;_)&quot;đ&quot;_ ;_ @_ "/>
    <numFmt numFmtId="177" formatCode="_ * #,##0_)_đ_ ;_ * \(#,##0\)_đ_ ;_ * &quot;-&quot;_)_đ_ ;_ @_ "/>
    <numFmt numFmtId="178" formatCode="_ * #,##0.00_)&quot;đ&quot;_ ;_ * \(#,##0.00\)&quot;đ&quot;_ ;_ * &quot;-&quot;??_)&quot;đ&quot;_ ;_ @_ "/>
    <numFmt numFmtId="179" formatCode="_ * #,##0.00_)_đ_ ;_ * \(#,##0.00\)_đ_ ;_ * &quot;-&quot;??_)_đ_ ;_ @_ "/>
    <numFmt numFmtId="180" formatCode="#,##0.0000"/>
    <numFmt numFmtId="181" formatCode="#,##0.0"/>
    <numFmt numFmtId="182" formatCode="#,##0.000"/>
    <numFmt numFmtId="183" formatCode="0.000000"/>
    <numFmt numFmtId="184" formatCode="0.00000"/>
    <numFmt numFmtId="185" formatCode="0.0000"/>
    <numFmt numFmtId="186" formatCode="0.000"/>
    <numFmt numFmtId="187" formatCode="0.0"/>
    <numFmt numFmtId="188" formatCode="_(* #,##0_);_(* \(#,##0\);_(* &quot;-&quot;??_);_(@_)"/>
    <numFmt numFmtId="189" formatCode="_(* #,##0.0_);_(* \(#,##0.0\);_(* &quot;-&quot;??_);_(@_)"/>
    <numFmt numFmtId="190" formatCode="&quot;Yes&quot;;&quot;Yes&quot;;&quot;No&quot;"/>
    <numFmt numFmtId="191" formatCode="&quot;True&quot;;&quot;True&quot;;&quot;False&quot;"/>
    <numFmt numFmtId="192" formatCode="&quot;On&quot;;&quot;On&quot;;&quot;Off&quot;"/>
    <numFmt numFmtId="193" formatCode="[$€-2]\ #,##0.00_);[Red]\([$€-2]\ #,##0.00\)"/>
    <numFmt numFmtId="194" formatCode="#.##000"/>
    <numFmt numFmtId="195" formatCode="_ * #,##0.0_)_đ_ ;_ * \(#,##0.0\)_đ_ ;_ * &quot;-&quot;??_)_đ_ ;_ @_ "/>
    <numFmt numFmtId="196" formatCode="_ * #,##0_)_đ_ ;_ * \(#,##0\)_đ_ ;_ * &quot;-&quot;??_)_đ_ ;_ @_ "/>
    <numFmt numFmtId="197" formatCode="#,##0.0_);\(#,##0.0\)"/>
    <numFmt numFmtId="198" formatCode="_-* #,##0.0\ _₫_-;\-* #,##0.0\ _₫_-;_-* &quot;-&quot;?\ _₫_-;_-@_-"/>
    <numFmt numFmtId="199" formatCode="_ * #,##0.000_)_đ_ ;_ * \(#,##0.000\)_đ_ ;_ * &quot;-&quot;??_)_đ_ ;_ @_ "/>
    <numFmt numFmtId="200" formatCode="_ * #,##0.0000_)_đ_ ;_ * \(#,##0.0000\)_đ_ ;_ * &quot;-&quot;??_)_đ_ ;_ @_ "/>
    <numFmt numFmtId="201" formatCode="_ * #,##0.00000_)_đ_ ;_ * \(#,##0.00000\)_đ_ ;_ * &quot;-&quot;??_)_đ_ ;_ @_ "/>
    <numFmt numFmtId="202" formatCode="_ * #,##0.000000_)_đ_ ;_ * \(#,##0.000000\)_đ_ ;_ * &quot;-&quot;??_)_đ_ ;_ @_ "/>
    <numFmt numFmtId="203" formatCode="_ * #,##0.0000000_)_đ_ ;_ * \(#,##0.0000000\)_đ_ ;_ * &quot;-&quot;??_)_đ_ ;_ @_ "/>
  </numFmts>
  <fonts count="48">
    <font>
      <sz val="10"/>
      <name val="Arial"/>
      <family val="0"/>
    </font>
    <font>
      <sz val="14"/>
      <color indexed="8"/>
      <name val="Times New Roman"/>
      <family val="2"/>
    </font>
    <font>
      <u val="single"/>
      <sz val="13"/>
      <color indexed="12"/>
      <name val="Arial"/>
      <family val="2"/>
    </font>
    <font>
      <u val="single"/>
      <sz val="13"/>
      <color indexed="36"/>
      <name val="Arial"/>
      <family val="2"/>
    </font>
    <font>
      <sz val="13"/>
      <name val="Times New Roman"/>
      <family val="1"/>
    </font>
    <font>
      <vertAlign val="superscript"/>
      <sz val="13"/>
      <color indexed="8"/>
      <name val="Times New Roman"/>
      <family val="1"/>
    </font>
    <font>
      <sz val="13"/>
      <color indexed="8"/>
      <name val=".VnArial Narrow"/>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8"/>
      <color indexed="54"/>
      <name val="Calibri Light"/>
      <family val="2"/>
    </font>
    <font>
      <b/>
      <sz val="14"/>
      <color indexed="8"/>
      <name val="Times New Roman"/>
      <family val="2"/>
    </font>
    <font>
      <sz val="14"/>
      <color indexed="10"/>
      <name val="Times New Roman"/>
      <family val="2"/>
    </font>
    <font>
      <sz val="13"/>
      <color indexed="8"/>
      <name val="Times New Roman"/>
      <family val="1"/>
    </font>
    <font>
      <b/>
      <sz val="13"/>
      <color indexed="8"/>
      <name val="Times New Roman"/>
      <family val="1"/>
    </font>
    <font>
      <sz val="13"/>
      <color indexed="10"/>
      <name val="Times New Roman"/>
      <family val="1"/>
    </font>
    <font>
      <i/>
      <sz val="13"/>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sz val="18"/>
      <color theme="3"/>
      <name val="Calibri Light"/>
      <family val="2"/>
    </font>
    <font>
      <b/>
      <sz val="14"/>
      <color theme="1"/>
      <name val="Times New Roman"/>
      <family val="2"/>
    </font>
    <font>
      <sz val="14"/>
      <color rgb="FFFF0000"/>
      <name val="Times New Roman"/>
      <family val="2"/>
    </font>
    <font>
      <sz val="13"/>
      <color theme="1"/>
      <name val="Times New Roman"/>
      <family val="1"/>
    </font>
    <font>
      <b/>
      <sz val="13"/>
      <color theme="1"/>
      <name val="Times New Roman"/>
      <family val="1"/>
    </font>
    <font>
      <sz val="13"/>
      <color rgb="FFFF0000"/>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color indexed="63"/>
      </top>
      <bottom style="thin"/>
    </border>
    <border>
      <left style="thin"/>
      <right style="thin"/>
      <top style="thin"/>
      <bottom style="hair"/>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44" fillId="0" borderId="0" xfId="0" applyFont="1" applyAlignment="1">
      <alignment/>
    </xf>
    <xf numFmtId="0" fontId="44" fillId="0" borderId="0" xfId="0" applyFont="1" applyFill="1" applyAlignment="1">
      <alignment wrapText="1"/>
    </xf>
    <xf numFmtId="0" fontId="44" fillId="0" borderId="0" xfId="0" applyFont="1" applyFill="1" applyAlignment="1">
      <alignment horizontal="center" wrapText="1"/>
    </xf>
    <xf numFmtId="3" fontId="44" fillId="0" borderId="0" xfId="0" applyNumberFormat="1" applyFont="1" applyFill="1" applyAlignment="1">
      <alignment horizontal="center" wrapText="1"/>
    </xf>
    <xf numFmtId="2" fontId="44" fillId="0" borderId="0" xfId="0" applyNumberFormat="1" applyFont="1" applyFill="1" applyAlignment="1">
      <alignment wrapText="1"/>
    </xf>
    <xf numFmtId="3" fontId="44" fillId="0" borderId="0" xfId="0" applyNumberFormat="1" applyFont="1" applyFill="1" applyAlignment="1">
      <alignment wrapText="1"/>
    </xf>
    <xf numFmtId="3" fontId="44" fillId="33" borderId="10" xfId="0" applyNumberFormat="1" applyFont="1" applyFill="1" applyBorder="1" applyAlignment="1">
      <alignment horizontal="right" vertical="center" wrapText="1"/>
    </xf>
    <xf numFmtId="3" fontId="44" fillId="33" borderId="11" xfId="0" applyNumberFormat="1" applyFont="1" applyFill="1" applyBorder="1" applyAlignment="1">
      <alignment horizontal="right" vertical="center" wrapText="1"/>
    </xf>
    <xf numFmtId="3" fontId="45" fillId="33" borderId="12" xfId="0" applyNumberFormat="1" applyFont="1" applyFill="1" applyBorder="1" applyAlignment="1">
      <alignment vertical="center" wrapText="1"/>
    </xf>
    <xf numFmtId="0" fontId="44" fillId="33" borderId="0" xfId="0" applyFont="1" applyFill="1" applyAlignment="1">
      <alignment wrapText="1"/>
    </xf>
    <xf numFmtId="2" fontId="44" fillId="33" borderId="0" xfId="0" applyNumberFormat="1" applyFont="1" applyFill="1" applyBorder="1" applyAlignment="1">
      <alignment vertical="center" wrapText="1"/>
    </xf>
    <xf numFmtId="3" fontId="44" fillId="33" borderId="13" xfId="0" applyNumberFormat="1" applyFont="1" applyFill="1" applyBorder="1" applyAlignment="1">
      <alignment horizontal="right" vertical="center" wrapText="1"/>
    </xf>
    <xf numFmtId="3" fontId="45" fillId="33" borderId="12" xfId="0" applyNumberFormat="1" applyFont="1" applyFill="1" applyBorder="1" applyAlignment="1">
      <alignment horizontal="right" vertical="center" wrapText="1"/>
    </xf>
    <xf numFmtId="3" fontId="44" fillId="33" borderId="14" xfId="0" applyNumberFormat="1" applyFont="1" applyFill="1" applyBorder="1" applyAlignment="1">
      <alignment horizontal="right" vertical="center" wrapText="1"/>
    </xf>
    <xf numFmtId="2" fontId="44" fillId="33" borderId="13" xfId="0" applyNumberFormat="1" applyFont="1" applyFill="1" applyBorder="1" applyAlignment="1">
      <alignment horizontal="right" vertical="center" wrapText="1"/>
    </xf>
    <xf numFmtId="2" fontId="44" fillId="33" borderId="10" xfId="0" applyNumberFormat="1" applyFont="1" applyFill="1" applyBorder="1" applyAlignment="1">
      <alignment horizontal="right" vertical="center" wrapText="1"/>
    </xf>
    <xf numFmtId="2" fontId="44" fillId="33" borderId="11" xfId="0" applyNumberFormat="1" applyFont="1" applyFill="1" applyBorder="1" applyAlignment="1">
      <alignment horizontal="right" vertical="center" wrapText="1"/>
    </xf>
    <xf numFmtId="2" fontId="45" fillId="33" borderId="12" xfId="0" applyNumberFormat="1" applyFont="1" applyFill="1" applyBorder="1" applyAlignment="1">
      <alignment horizontal="right" vertical="center" wrapText="1"/>
    </xf>
    <xf numFmtId="2" fontId="44" fillId="33" borderId="0" xfId="0" applyNumberFormat="1" applyFont="1" applyFill="1" applyAlignment="1">
      <alignment vertical="center" wrapText="1"/>
    </xf>
    <xf numFmtId="0" fontId="45" fillId="33" borderId="0" xfId="0" applyFont="1" applyFill="1" applyAlignment="1">
      <alignment wrapText="1"/>
    </xf>
    <xf numFmtId="0" fontId="45" fillId="33" borderId="0" xfId="0" applyFont="1" applyFill="1" applyAlignment="1">
      <alignment wrapText="1"/>
    </xf>
    <xf numFmtId="3" fontId="45" fillId="33" borderId="14" xfId="0" applyNumberFormat="1" applyFont="1" applyFill="1" applyBorder="1" applyAlignment="1">
      <alignment horizontal="right" vertical="center" wrapText="1"/>
    </xf>
    <xf numFmtId="0" fontId="44" fillId="33" borderId="10"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0" xfId="0" applyFont="1" applyFill="1" applyAlignment="1">
      <alignment horizontal="center" wrapText="1"/>
    </xf>
    <xf numFmtId="3" fontId="44" fillId="33" borderId="0" xfId="0" applyNumberFormat="1" applyFont="1" applyFill="1" applyAlignment="1">
      <alignment horizontal="center" wrapText="1"/>
    </xf>
    <xf numFmtId="2" fontId="44" fillId="33" borderId="0" xfId="0" applyNumberFormat="1" applyFont="1" applyFill="1" applyAlignment="1">
      <alignment wrapText="1"/>
    </xf>
    <xf numFmtId="3" fontId="44" fillId="33" borderId="0" xfId="0" applyNumberFormat="1" applyFont="1" applyFill="1" applyAlignment="1">
      <alignment wrapText="1"/>
    </xf>
    <xf numFmtId="0" fontId="44" fillId="33" borderId="10" xfId="0" applyFont="1" applyFill="1" applyBorder="1" applyAlignment="1">
      <alignment horizontal="right" vertical="center" wrapText="1"/>
    </xf>
    <xf numFmtId="3" fontId="45" fillId="33" borderId="14" xfId="0" applyNumberFormat="1" applyFont="1" applyFill="1" applyBorder="1" applyAlignment="1">
      <alignment horizontal="center" vertical="center" wrapText="1"/>
    </xf>
    <xf numFmtId="2" fontId="45" fillId="33" borderId="14" xfId="0" applyNumberFormat="1" applyFont="1" applyFill="1" applyBorder="1" applyAlignment="1">
      <alignment horizontal="center" vertical="center" wrapText="1"/>
    </xf>
    <xf numFmtId="3" fontId="45" fillId="33" borderId="14" xfId="0" applyNumberFormat="1" applyFont="1" applyFill="1" applyBorder="1" applyAlignment="1">
      <alignment horizontal="center" vertical="center" wrapText="1" shrinkToFit="1"/>
    </xf>
    <xf numFmtId="2" fontId="45" fillId="33" borderId="12" xfId="0" applyNumberFormat="1" applyFont="1" applyFill="1" applyBorder="1" applyAlignment="1">
      <alignment horizontal="left" vertical="center" wrapText="1"/>
    </xf>
    <xf numFmtId="2" fontId="45" fillId="33" borderId="12" xfId="0" applyNumberFormat="1" applyFont="1" applyFill="1" applyBorder="1" applyAlignment="1">
      <alignment horizontal="right" vertical="center" wrapText="1"/>
    </xf>
    <xf numFmtId="3" fontId="45" fillId="33" borderId="12" xfId="0" applyNumberFormat="1" applyFont="1" applyFill="1" applyBorder="1" applyAlignment="1">
      <alignment horizontal="right" vertical="center" wrapText="1"/>
    </xf>
    <xf numFmtId="0" fontId="44" fillId="33" borderId="11" xfId="0" applyFont="1" applyFill="1" applyBorder="1" applyAlignment="1">
      <alignment horizontal="center" vertical="center" wrapText="1"/>
    </xf>
    <xf numFmtId="0" fontId="44" fillId="33" borderId="11" xfId="0" applyFont="1" applyFill="1" applyBorder="1" applyAlignment="1">
      <alignment horizontal="right" vertical="center" wrapText="1"/>
    </xf>
    <xf numFmtId="0" fontId="45" fillId="33" borderId="12" xfId="0" applyFont="1" applyFill="1" applyBorder="1" applyAlignment="1">
      <alignment horizontal="right" vertical="center" wrapText="1"/>
    </xf>
    <xf numFmtId="3" fontId="44" fillId="33" borderId="15" xfId="0" applyNumberFormat="1" applyFont="1" applyFill="1" applyBorder="1" applyAlignment="1">
      <alignment horizontal="right" vertical="center" wrapText="1"/>
    </xf>
    <xf numFmtId="0" fontId="44" fillId="33"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4" fillId="33" borderId="13"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44" fillId="33" borderId="1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4" fillId="33" borderId="13" xfId="0" applyFont="1" applyFill="1" applyBorder="1" applyAlignment="1">
      <alignment horizontal="right" vertical="center" wrapText="1"/>
    </xf>
    <xf numFmtId="0" fontId="45" fillId="33" borderId="12" xfId="0" applyFont="1" applyFill="1" applyBorder="1" applyAlignment="1">
      <alignment horizontal="right" vertical="center" wrapText="1"/>
    </xf>
    <xf numFmtId="0" fontId="44" fillId="33" borderId="15" xfId="0" applyFont="1" applyFill="1" applyBorder="1" applyAlignment="1">
      <alignment horizontal="right" vertical="center" wrapText="1"/>
    </xf>
    <xf numFmtId="0" fontId="45" fillId="33" borderId="14" xfId="0" applyFont="1" applyFill="1" applyBorder="1" applyAlignment="1">
      <alignment horizontal="right" vertical="center" wrapText="1"/>
    </xf>
    <xf numFmtId="0" fontId="44" fillId="33" borderId="14" xfId="0" applyFont="1" applyFill="1" applyBorder="1" applyAlignment="1">
      <alignment horizontal="right" vertical="center" wrapText="1"/>
    </xf>
    <xf numFmtId="2" fontId="44" fillId="33" borderId="15" xfId="0" applyNumberFormat="1" applyFont="1" applyFill="1" applyBorder="1" applyAlignment="1">
      <alignment horizontal="right" vertical="center" wrapText="1"/>
    </xf>
    <xf numFmtId="2" fontId="45" fillId="33" borderId="14" xfId="0" applyNumberFormat="1" applyFont="1" applyFill="1" applyBorder="1" applyAlignment="1">
      <alignment horizontal="right" vertical="center" wrapText="1"/>
    </xf>
    <xf numFmtId="0" fontId="46" fillId="33" borderId="10" xfId="0" applyFont="1" applyFill="1" applyBorder="1" applyAlignment="1">
      <alignment horizontal="left" vertical="center" wrapText="1"/>
    </xf>
    <xf numFmtId="0" fontId="46" fillId="33" borderId="10" xfId="0" applyFont="1" applyFill="1" applyBorder="1" applyAlignment="1">
      <alignment horizontal="right" vertical="center" wrapText="1"/>
    </xf>
    <xf numFmtId="3" fontId="45" fillId="33" borderId="12" xfId="0" applyNumberFormat="1" applyFont="1" applyFill="1" applyBorder="1" applyAlignment="1">
      <alignment horizontal="center" vertical="center" wrapText="1"/>
    </xf>
    <xf numFmtId="2" fontId="45" fillId="33" borderId="12"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33" borderId="13" xfId="0" applyFont="1" applyFill="1" applyBorder="1" applyAlignment="1">
      <alignment horizontal="left" vertical="center" wrapText="1"/>
    </xf>
    <xf numFmtId="179" fontId="45" fillId="33" borderId="12" xfId="42" applyNumberFormat="1" applyFont="1" applyFill="1" applyBorder="1" applyAlignment="1">
      <alignment horizontal="right" vertical="center" wrapText="1"/>
    </xf>
    <xf numFmtId="179" fontId="45" fillId="33" borderId="14" xfId="42" applyNumberFormat="1" applyFont="1" applyFill="1" applyBorder="1" applyAlignment="1">
      <alignment horizontal="right" vertical="center" wrapText="1"/>
    </xf>
    <xf numFmtId="179" fontId="44" fillId="33" borderId="13" xfId="42" applyNumberFormat="1" applyFont="1" applyFill="1" applyBorder="1" applyAlignment="1">
      <alignment horizontal="right" vertical="center" wrapText="1"/>
    </xf>
    <xf numFmtId="179" fontId="44" fillId="33" borderId="10" xfId="42" applyNumberFormat="1" applyFont="1" applyFill="1" applyBorder="1" applyAlignment="1">
      <alignment horizontal="right" vertical="center" wrapText="1"/>
    </xf>
    <xf numFmtId="179" fontId="4" fillId="33" borderId="10" xfId="42" applyNumberFormat="1" applyFont="1" applyFill="1" applyBorder="1" applyAlignment="1">
      <alignment horizontal="right" vertical="center" wrapText="1"/>
    </xf>
    <xf numFmtId="179" fontId="44" fillId="33" borderId="11" xfId="42" applyNumberFormat="1" applyFont="1" applyFill="1" applyBorder="1" applyAlignment="1">
      <alignment horizontal="right" vertical="center" wrapText="1"/>
    </xf>
    <xf numFmtId="179" fontId="45" fillId="33" borderId="12" xfId="42" applyNumberFormat="1" applyFont="1" applyFill="1" applyBorder="1" applyAlignment="1">
      <alignment horizontal="right" vertical="center" wrapText="1"/>
    </xf>
    <xf numFmtId="179" fontId="44" fillId="33" borderId="15" xfId="42" applyNumberFormat="1" applyFont="1" applyFill="1" applyBorder="1" applyAlignment="1">
      <alignment horizontal="right" vertical="center" wrapText="1"/>
    </xf>
    <xf numFmtId="179" fontId="45" fillId="33" borderId="14" xfId="42" applyNumberFormat="1" applyFont="1" applyFill="1" applyBorder="1" applyAlignment="1">
      <alignment horizontal="right" vertical="center" wrapText="1"/>
    </xf>
    <xf numFmtId="179" fontId="44" fillId="33" borderId="0" xfId="42" applyNumberFormat="1" applyFont="1" applyFill="1" applyAlignment="1">
      <alignment horizontal="right" wrapText="1"/>
    </xf>
    <xf numFmtId="179" fontId="44" fillId="0" borderId="0" xfId="42" applyNumberFormat="1" applyFont="1" applyFill="1" applyAlignment="1">
      <alignment horizontal="right"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2" fontId="4" fillId="33" borderId="10" xfId="0" applyNumberFormat="1" applyFont="1" applyFill="1" applyBorder="1" applyAlignment="1">
      <alignment horizontal="right" vertical="center" wrapText="1"/>
    </xf>
    <xf numFmtId="0" fontId="4" fillId="33" borderId="0" xfId="0" applyFont="1" applyFill="1" applyAlignment="1">
      <alignment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right" vertical="center" wrapText="1"/>
    </xf>
    <xf numFmtId="179" fontId="4" fillId="33" borderId="11" xfId="42" applyNumberFormat="1" applyFont="1" applyFill="1" applyBorder="1" applyAlignment="1">
      <alignment horizontal="right" vertical="center" wrapText="1"/>
    </xf>
    <xf numFmtId="3" fontId="4" fillId="33" borderId="11" xfId="0" applyNumberFormat="1" applyFont="1" applyFill="1" applyBorder="1" applyAlignment="1">
      <alignment horizontal="right" vertical="center" wrapText="1"/>
    </xf>
    <xf numFmtId="2" fontId="4" fillId="33" borderId="11" xfId="0" applyNumberFormat="1" applyFont="1" applyFill="1" applyBorder="1" applyAlignment="1">
      <alignment horizontal="right" vertical="center" wrapText="1"/>
    </xf>
    <xf numFmtId="0" fontId="46" fillId="33" borderId="10" xfId="0" applyFont="1" applyFill="1" applyBorder="1" applyAlignment="1">
      <alignment horizontal="center" vertical="center" wrapText="1"/>
    </xf>
    <xf numFmtId="179" fontId="46" fillId="33" borderId="10" xfId="42" applyNumberFormat="1" applyFont="1" applyFill="1" applyBorder="1" applyAlignment="1">
      <alignment horizontal="right" vertical="center" wrapText="1"/>
    </xf>
    <xf numFmtId="3" fontId="46" fillId="33" borderId="10" xfId="0" applyNumberFormat="1" applyFont="1" applyFill="1" applyBorder="1" applyAlignment="1">
      <alignment horizontal="right" vertical="center" wrapText="1"/>
    </xf>
    <xf numFmtId="2" fontId="46" fillId="33" borderId="10" xfId="0" applyNumberFormat="1" applyFont="1" applyFill="1" applyBorder="1" applyAlignment="1">
      <alignment horizontal="right" vertical="center" wrapText="1"/>
    </xf>
    <xf numFmtId="0" fontId="46" fillId="33" borderId="0" xfId="0" applyFont="1" applyFill="1" applyAlignment="1">
      <alignment wrapText="1"/>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7" fillId="33" borderId="16" xfId="0" applyFont="1" applyFill="1" applyBorder="1" applyAlignment="1">
      <alignment horizontal="center" vertical="center" wrapText="1"/>
    </xf>
    <xf numFmtId="2" fontId="45" fillId="33" borderId="12" xfId="0" applyNumberFormat="1" applyFont="1" applyFill="1" applyBorder="1" applyAlignment="1">
      <alignment horizontal="center" vertical="center" wrapText="1"/>
    </xf>
    <xf numFmtId="180" fontId="45" fillId="33" borderId="12" xfId="0" applyNumberFormat="1"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33" borderId="11" xfId="0" applyNumberFormat="1" applyFont="1" applyFill="1" applyBorder="1" applyAlignment="1">
      <alignment horizontal="center" vertical="center" wrapText="1"/>
    </xf>
    <xf numFmtId="2" fontId="45" fillId="33" borderId="15" xfId="0" applyNumberFormat="1"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1"/>
  <sheetViews>
    <sheetView tabSelected="1" workbookViewId="0" topLeftCell="A7">
      <selection activeCell="B16" sqref="B16"/>
    </sheetView>
  </sheetViews>
  <sheetFormatPr defaultColWidth="9.140625" defaultRowHeight="12.75"/>
  <cols>
    <col min="1" max="1" width="5.8515625" style="3" customWidth="1"/>
    <col min="2" max="2" width="59.140625" style="2" customWidth="1"/>
    <col min="3" max="3" width="7.140625" style="2" customWidth="1"/>
    <col min="4" max="4" width="13.8515625" style="78" bestFit="1" customWidth="1"/>
    <col min="5" max="5" width="13.8515625" style="4" customWidth="1"/>
    <col min="6" max="6" width="7.421875" style="5" customWidth="1"/>
    <col min="7" max="7" width="16.28125" style="6" customWidth="1"/>
    <col min="8" max="16384" width="9.140625" style="2" customWidth="1"/>
  </cols>
  <sheetData>
    <row r="1" spans="1:7" s="1" customFormat="1" ht="50.25" customHeight="1">
      <c r="A1" s="95" t="s">
        <v>272</v>
      </c>
      <c r="B1" s="96"/>
      <c r="C1" s="96"/>
      <c r="D1" s="96"/>
      <c r="E1" s="96"/>
      <c r="F1" s="96"/>
      <c r="G1" s="96"/>
    </row>
    <row r="2" spans="1:7" ht="35.25" customHeight="1">
      <c r="A2" s="97" t="s">
        <v>278</v>
      </c>
      <c r="B2" s="97"/>
      <c r="C2" s="97"/>
      <c r="D2" s="97"/>
      <c r="E2" s="97"/>
      <c r="F2" s="97"/>
      <c r="G2" s="97"/>
    </row>
    <row r="3" spans="1:7" ht="22.5" customHeight="1">
      <c r="A3" s="101" t="s">
        <v>0</v>
      </c>
      <c r="B3" s="103" t="s">
        <v>1</v>
      </c>
      <c r="C3" s="103" t="s">
        <v>2</v>
      </c>
      <c r="D3" s="98" t="s">
        <v>7</v>
      </c>
      <c r="E3" s="99"/>
      <c r="F3" s="98"/>
      <c r="G3" s="100"/>
    </row>
    <row r="4" spans="1:7" s="10" customFormat="1" ht="38.25" customHeight="1">
      <c r="A4" s="102"/>
      <c r="B4" s="104"/>
      <c r="C4" s="104"/>
      <c r="D4" s="69" t="s">
        <v>3</v>
      </c>
      <c r="E4" s="31" t="s">
        <v>4</v>
      </c>
      <c r="F4" s="32" t="s">
        <v>5</v>
      </c>
      <c r="G4" s="33" t="s">
        <v>6</v>
      </c>
    </row>
    <row r="5" spans="1:15" s="19" customFormat="1" ht="21" customHeight="1">
      <c r="A5" s="62" t="s">
        <v>8</v>
      </c>
      <c r="B5" s="34" t="s">
        <v>9</v>
      </c>
      <c r="C5" s="63"/>
      <c r="D5" s="68"/>
      <c r="E5" s="62"/>
      <c r="F5" s="63"/>
      <c r="G5" s="9">
        <f>ROUND(SUM(G6:G328)/2,-3)</f>
        <v>4444109000</v>
      </c>
      <c r="H5" s="11"/>
      <c r="I5" s="11"/>
      <c r="J5" s="11"/>
      <c r="K5" s="11"/>
      <c r="L5" s="11"/>
      <c r="M5" s="11"/>
      <c r="N5" s="11"/>
      <c r="O5" s="11"/>
    </row>
    <row r="6" spans="1:7" s="20" customFormat="1" ht="33">
      <c r="A6" s="42">
        <v>1</v>
      </c>
      <c r="B6" s="45" t="s">
        <v>238</v>
      </c>
      <c r="C6" s="54"/>
      <c r="D6" s="74"/>
      <c r="E6" s="13"/>
      <c r="F6" s="18"/>
      <c r="G6" s="13">
        <f>ROUND(SUM(G7:G28),-3)</f>
        <v>163666000</v>
      </c>
    </row>
    <row r="7" spans="1:7" s="10" customFormat="1" ht="19.5">
      <c r="A7" s="25"/>
      <c r="B7" s="46" t="s">
        <v>243</v>
      </c>
      <c r="C7" s="53" t="s">
        <v>207</v>
      </c>
      <c r="D7" s="70">
        <v>58.5</v>
      </c>
      <c r="E7" s="12">
        <v>30000</v>
      </c>
      <c r="F7" s="15">
        <v>1</v>
      </c>
      <c r="G7" s="7">
        <f>F7*E7*D7</f>
        <v>1755000</v>
      </c>
    </row>
    <row r="8" spans="1:7" s="10" customFormat="1" ht="49.5">
      <c r="A8" s="25"/>
      <c r="B8" s="46" t="s">
        <v>241</v>
      </c>
      <c r="C8" s="53" t="s">
        <v>207</v>
      </c>
      <c r="D8" s="70">
        <f>D7</f>
        <v>58.5</v>
      </c>
      <c r="E8" s="12">
        <f>1170000/2</f>
        <v>585000</v>
      </c>
      <c r="F8" s="15">
        <v>1</v>
      </c>
      <c r="G8" s="7">
        <f>F8*E8*D8</f>
        <v>34222500</v>
      </c>
    </row>
    <row r="9" spans="1:7" s="83" customFormat="1" ht="33">
      <c r="A9" s="79"/>
      <c r="B9" s="65" t="s">
        <v>234</v>
      </c>
      <c r="C9" s="80" t="s">
        <v>10</v>
      </c>
      <c r="D9" s="72">
        <f>15.9*0.8</f>
        <v>12.72</v>
      </c>
      <c r="E9" s="81">
        <v>600000</v>
      </c>
      <c r="F9" s="82">
        <v>1.08</v>
      </c>
      <c r="G9" s="81">
        <f aca="true" t="shared" si="0" ref="G9:G28">F9*E9*D9</f>
        <v>8242560</v>
      </c>
    </row>
    <row r="10" spans="1:7" s="83" customFormat="1" ht="33">
      <c r="A10" s="79"/>
      <c r="B10" s="65" t="s">
        <v>235</v>
      </c>
      <c r="C10" s="80" t="s">
        <v>10</v>
      </c>
      <c r="D10" s="72">
        <f>15.9*1.7</f>
        <v>27.03</v>
      </c>
      <c r="E10" s="81">
        <v>700000</v>
      </c>
      <c r="F10" s="82">
        <v>1.08</v>
      </c>
      <c r="G10" s="81">
        <f t="shared" si="0"/>
        <v>20434680</v>
      </c>
    </row>
    <row r="11" spans="1:7" s="10" customFormat="1" ht="16.5">
      <c r="A11" s="23"/>
      <c r="B11" s="47" t="s">
        <v>128</v>
      </c>
      <c r="C11" s="30" t="s">
        <v>10</v>
      </c>
      <c r="D11" s="71">
        <f>0.3*0.3*3*2</f>
        <v>0.54</v>
      </c>
      <c r="E11" s="7">
        <v>2500000</v>
      </c>
      <c r="F11" s="16">
        <v>1.08</v>
      </c>
      <c r="G11" s="7">
        <f t="shared" si="0"/>
        <v>1458000</v>
      </c>
    </row>
    <row r="12" spans="1:7" s="10" customFormat="1" ht="16.5">
      <c r="A12" s="23"/>
      <c r="B12" s="47" t="s">
        <v>129</v>
      </c>
      <c r="C12" s="30" t="s">
        <v>10</v>
      </c>
      <c r="D12" s="71">
        <f>0.7*3.8*0.15</f>
        <v>0.39899999999999997</v>
      </c>
      <c r="E12" s="7">
        <v>1944000</v>
      </c>
      <c r="F12" s="16">
        <v>1.08</v>
      </c>
      <c r="G12" s="7">
        <f t="shared" si="0"/>
        <v>837708.48</v>
      </c>
    </row>
    <row r="13" spans="1:7" s="10" customFormat="1" ht="16.5">
      <c r="A13" s="23"/>
      <c r="B13" s="47" t="s">
        <v>130</v>
      </c>
      <c r="C13" s="30" t="s">
        <v>10</v>
      </c>
      <c r="D13" s="71">
        <f>3*1.1</f>
        <v>3.3000000000000003</v>
      </c>
      <c r="E13" s="7">
        <v>1447000</v>
      </c>
      <c r="F13" s="16">
        <v>1.08</v>
      </c>
      <c r="G13" s="7">
        <f t="shared" si="0"/>
        <v>5157108</v>
      </c>
    </row>
    <row r="14" spans="1:7" s="10" customFormat="1" ht="16.5">
      <c r="A14" s="23"/>
      <c r="B14" s="47" t="s">
        <v>279</v>
      </c>
      <c r="C14" s="30" t="s">
        <v>10</v>
      </c>
      <c r="D14" s="71">
        <f>2.6*2.15</f>
        <v>5.59</v>
      </c>
      <c r="E14" s="7">
        <v>600000</v>
      </c>
      <c r="F14" s="16">
        <v>1.08</v>
      </c>
      <c r="G14" s="7">
        <f t="shared" si="0"/>
        <v>3622320</v>
      </c>
    </row>
    <row r="15" spans="1:7" s="83" customFormat="1" ht="17.25" customHeight="1">
      <c r="A15" s="79"/>
      <c r="B15" s="65" t="s">
        <v>276</v>
      </c>
      <c r="C15" s="80" t="s">
        <v>203</v>
      </c>
      <c r="D15" s="72">
        <f>+(1.6*0.1*2.7)*2</f>
        <v>0.8640000000000002</v>
      </c>
      <c r="E15" s="64">
        <v>1624000</v>
      </c>
      <c r="F15" s="82">
        <v>1.08</v>
      </c>
      <c r="G15" s="81">
        <f t="shared" si="0"/>
        <v>1515386.8800000004</v>
      </c>
    </row>
    <row r="16" spans="1:7" s="10" customFormat="1" ht="16.5">
      <c r="A16" s="23"/>
      <c r="B16" s="47" t="s">
        <v>131</v>
      </c>
      <c r="C16" s="30" t="s">
        <v>10</v>
      </c>
      <c r="D16" s="71">
        <f>9.4*1.4</f>
        <v>13.16</v>
      </c>
      <c r="E16" s="7">
        <v>400000</v>
      </c>
      <c r="F16" s="16">
        <v>1.08</v>
      </c>
      <c r="G16" s="7">
        <f t="shared" si="0"/>
        <v>5685120</v>
      </c>
    </row>
    <row r="17" spans="1:7" s="10" customFormat="1" ht="33">
      <c r="A17" s="23"/>
      <c r="B17" s="47" t="s">
        <v>132</v>
      </c>
      <c r="C17" s="30" t="s">
        <v>10</v>
      </c>
      <c r="D17" s="71">
        <f>(6*0.4)+(8.6*3.4)+(4.4*0.13)+(1.8*1)</f>
        <v>34.012</v>
      </c>
      <c r="E17" s="7">
        <v>300000</v>
      </c>
      <c r="F17" s="16">
        <v>1.08</v>
      </c>
      <c r="G17" s="7">
        <f t="shared" si="0"/>
        <v>11019888</v>
      </c>
    </row>
    <row r="18" spans="1:7" s="10" customFormat="1" ht="16.5">
      <c r="A18" s="23"/>
      <c r="B18" s="47" t="s">
        <v>12</v>
      </c>
      <c r="C18" s="30" t="s">
        <v>13</v>
      </c>
      <c r="D18" s="71">
        <v>2</v>
      </c>
      <c r="E18" s="7">
        <v>1200000</v>
      </c>
      <c r="F18" s="16">
        <v>1.08</v>
      </c>
      <c r="G18" s="7">
        <f t="shared" si="0"/>
        <v>2592000</v>
      </c>
    </row>
    <row r="19" spans="1:7" s="10" customFormat="1" ht="33">
      <c r="A19" s="23"/>
      <c r="B19" s="47" t="s">
        <v>236</v>
      </c>
      <c r="C19" s="30" t="s">
        <v>10</v>
      </c>
      <c r="D19" s="71">
        <f>9.6*6.8</f>
        <v>65.28</v>
      </c>
      <c r="E19" s="7">
        <f>510000+276000</f>
        <v>786000</v>
      </c>
      <c r="F19" s="16">
        <v>1.08</v>
      </c>
      <c r="G19" s="7">
        <f t="shared" si="0"/>
        <v>55414886.4</v>
      </c>
    </row>
    <row r="20" spans="1:7" s="10" customFormat="1" ht="16.5">
      <c r="A20" s="23"/>
      <c r="B20" s="47" t="s">
        <v>237</v>
      </c>
      <c r="C20" s="30" t="s">
        <v>10</v>
      </c>
      <c r="D20" s="71">
        <f>+(1*6.8)+(3.6*6.2)/2</f>
        <v>17.96</v>
      </c>
      <c r="E20" s="7">
        <v>276000</v>
      </c>
      <c r="F20" s="16">
        <v>1.08</v>
      </c>
      <c r="G20" s="7">
        <f>F20*E20*D20</f>
        <v>5353516.8</v>
      </c>
    </row>
    <row r="21" spans="1:7" s="10" customFormat="1" ht="33">
      <c r="A21" s="23"/>
      <c r="B21" s="47" t="s">
        <v>133</v>
      </c>
      <c r="C21" s="30" t="s">
        <v>10</v>
      </c>
      <c r="D21" s="71">
        <f>2*1.2</f>
        <v>2.4</v>
      </c>
      <c r="E21" s="7">
        <v>123000</v>
      </c>
      <c r="F21" s="16">
        <v>1.08</v>
      </c>
      <c r="G21" s="7">
        <f t="shared" si="0"/>
        <v>318816</v>
      </c>
    </row>
    <row r="22" spans="1:7" s="10" customFormat="1" ht="16.5">
      <c r="A22" s="23"/>
      <c r="B22" s="47" t="s">
        <v>224</v>
      </c>
      <c r="C22" s="30" t="s">
        <v>42</v>
      </c>
      <c r="D22" s="71">
        <v>1</v>
      </c>
      <c r="E22" s="7">
        <v>4170000</v>
      </c>
      <c r="F22" s="16">
        <v>1.08</v>
      </c>
      <c r="G22" s="7">
        <f t="shared" si="0"/>
        <v>4503600</v>
      </c>
    </row>
    <row r="23" spans="1:7" s="83" customFormat="1" ht="16.5">
      <c r="A23" s="79"/>
      <c r="B23" s="65" t="s">
        <v>239</v>
      </c>
      <c r="C23" s="80" t="s">
        <v>17</v>
      </c>
      <c r="D23" s="72">
        <v>4</v>
      </c>
      <c r="E23" s="81">
        <v>50000</v>
      </c>
      <c r="F23" s="82">
        <v>1</v>
      </c>
      <c r="G23" s="81">
        <f t="shared" si="0"/>
        <v>200000</v>
      </c>
    </row>
    <row r="24" spans="1:7" s="10" customFormat="1" ht="16.5">
      <c r="A24" s="23"/>
      <c r="B24" s="47" t="s">
        <v>134</v>
      </c>
      <c r="C24" s="30" t="s">
        <v>17</v>
      </c>
      <c r="D24" s="71">
        <v>1</v>
      </c>
      <c r="E24" s="7">
        <v>500000</v>
      </c>
      <c r="F24" s="16">
        <v>1</v>
      </c>
      <c r="G24" s="7">
        <f t="shared" si="0"/>
        <v>500000</v>
      </c>
    </row>
    <row r="25" spans="1:7" s="10" customFormat="1" ht="16.5">
      <c r="A25" s="23"/>
      <c r="B25" s="47" t="s">
        <v>135</v>
      </c>
      <c r="C25" s="30" t="s">
        <v>17</v>
      </c>
      <c r="D25" s="71">
        <v>1</v>
      </c>
      <c r="E25" s="7">
        <v>250000</v>
      </c>
      <c r="F25" s="16">
        <v>1</v>
      </c>
      <c r="G25" s="7">
        <f t="shared" si="0"/>
        <v>250000</v>
      </c>
    </row>
    <row r="26" spans="1:7" s="10" customFormat="1" ht="16.5">
      <c r="A26" s="23"/>
      <c r="B26" s="47" t="s">
        <v>136</v>
      </c>
      <c r="C26" s="30" t="s">
        <v>17</v>
      </c>
      <c r="D26" s="71">
        <v>1</v>
      </c>
      <c r="E26" s="7">
        <v>69000</v>
      </c>
      <c r="F26" s="16">
        <v>1</v>
      </c>
      <c r="G26" s="7">
        <f t="shared" si="0"/>
        <v>69000</v>
      </c>
    </row>
    <row r="27" spans="1:7" s="10" customFormat="1" ht="16.5">
      <c r="A27" s="23"/>
      <c r="B27" s="47" t="s">
        <v>137</v>
      </c>
      <c r="C27" s="30" t="s">
        <v>17</v>
      </c>
      <c r="D27" s="71">
        <v>2</v>
      </c>
      <c r="E27" s="7">
        <v>20000</v>
      </c>
      <c r="F27" s="16">
        <v>1</v>
      </c>
      <c r="G27" s="7">
        <f t="shared" si="0"/>
        <v>40000</v>
      </c>
    </row>
    <row r="28" spans="1:7" s="10" customFormat="1" ht="16.5">
      <c r="A28" s="37"/>
      <c r="B28" s="48" t="s">
        <v>138</v>
      </c>
      <c r="C28" s="38" t="s">
        <v>203</v>
      </c>
      <c r="D28" s="73">
        <f>3.6*0.25*0.15*2</f>
        <v>0.27</v>
      </c>
      <c r="E28" s="8">
        <v>1624000</v>
      </c>
      <c r="F28" s="17">
        <v>1.08</v>
      </c>
      <c r="G28" s="8">
        <f t="shared" si="0"/>
        <v>473558.4</v>
      </c>
    </row>
    <row r="29" spans="1:7" s="20" customFormat="1" ht="33">
      <c r="A29" s="42">
        <v>2</v>
      </c>
      <c r="B29" s="45" t="s">
        <v>240</v>
      </c>
      <c r="C29" s="54"/>
      <c r="D29" s="74"/>
      <c r="E29" s="13"/>
      <c r="F29" s="18"/>
      <c r="G29" s="13">
        <f>ROUND(SUM(G30:G34),-3)</f>
        <v>468023000</v>
      </c>
    </row>
    <row r="30" spans="1:7" s="10" customFormat="1" ht="19.5">
      <c r="A30" s="25"/>
      <c r="B30" s="46" t="s">
        <v>243</v>
      </c>
      <c r="C30" s="53" t="s">
        <v>207</v>
      </c>
      <c r="D30" s="70">
        <v>99</v>
      </c>
      <c r="E30" s="12">
        <v>30000</v>
      </c>
      <c r="F30" s="15">
        <v>1</v>
      </c>
      <c r="G30" s="7">
        <f>F30*E30*D30</f>
        <v>2970000</v>
      </c>
    </row>
    <row r="31" spans="1:7" s="10" customFormat="1" ht="49.5">
      <c r="A31" s="25"/>
      <c r="B31" s="46" t="s">
        <v>241</v>
      </c>
      <c r="C31" s="53"/>
      <c r="D31" s="70">
        <f>D30</f>
        <v>99</v>
      </c>
      <c r="E31" s="12">
        <f>1170000/2</f>
        <v>585000</v>
      </c>
      <c r="F31" s="15">
        <v>1</v>
      </c>
      <c r="G31" s="7">
        <f>F31*E31*D31</f>
        <v>57915000</v>
      </c>
    </row>
    <row r="32" spans="1:7" s="10" customFormat="1" ht="51.75" customHeight="1">
      <c r="A32" s="23"/>
      <c r="B32" s="47" t="s">
        <v>227</v>
      </c>
      <c r="C32" s="30" t="s">
        <v>10</v>
      </c>
      <c r="D32" s="71">
        <f>(7.4*5.1)+(12.2*5.1)</f>
        <v>99.96</v>
      </c>
      <c r="E32" s="7">
        <v>3150000</v>
      </c>
      <c r="F32" s="16">
        <v>1.08</v>
      </c>
      <c r="G32" s="7">
        <f>F32*E32*D32</f>
        <v>340063920</v>
      </c>
    </row>
    <row r="33" spans="1:7" s="83" customFormat="1" ht="36" customHeight="1">
      <c r="A33" s="79"/>
      <c r="B33" s="65" t="s">
        <v>244</v>
      </c>
      <c r="C33" s="80" t="s">
        <v>10</v>
      </c>
      <c r="D33" s="72">
        <f>1.4*5.1</f>
        <v>7.139999999999999</v>
      </c>
      <c r="E33" s="81">
        <v>3150000</v>
      </c>
      <c r="F33" s="82">
        <v>1.08</v>
      </c>
      <c r="G33" s="81">
        <f>F33*E33*D33</f>
        <v>24290279.999999996</v>
      </c>
    </row>
    <row r="34" spans="1:7" s="83" customFormat="1" ht="33">
      <c r="A34" s="84"/>
      <c r="B34" s="85" t="s">
        <v>228</v>
      </c>
      <c r="C34" s="86" t="s">
        <v>10</v>
      </c>
      <c r="D34" s="87">
        <f>2*12.2+2*8.8+0.4*21</f>
        <v>50.4</v>
      </c>
      <c r="E34" s="88">
        <f>510000+276000</f>
        <v>786000</v>
      </c>
      <c r="F34" s="89">
        <v>1.08</v>
      </c>
      <c r="G34" s="88">
        <f>F34*E34*D34</f>
        <v>42783552</v>
      </c>
    </row>
    <row r="35" spans="1:7" s="21" customFormat="1" ht="19.5" customHeight="1">
      <c r="A35" s="24">
        <v>3</v>
      </c>
      <c r="B35" s="49" t="s">
        <v>245</v>
      </c>
      <c r="C35" s="39"/>
      <c r="D35" s="68"/>
      <c r="E35" s="36"/>
      <c r="F35" s="35"/>
      <c r="G35" s="36">
        <f>ROUND(SUM(G36:G48),-3)</f>
        <v>28193000</v>
      </c>
    </row>
    <row r="36" spans="1:7" s="10" customFormat="1" ht="19.5">
      <c r="A36" s="25"/>
      <c r="B36" s="46" t="s">
        <v>247</v>
      </c>
      <c r="C36" s="53" t="s">
        <v>207</v>
      </c>
      <c r="D36" s="70">
        <v>107.5</v>
      </c>
      <c r="E36" s="12">
        <v>30000</v>
      </c>
      <c r="F36" s="15">
        <v>1</v>
      </c>
      <c r="G36" s="7">
        <f>F36*E36*D36</f>
        <v>3225000</v>
      </c>
    </row>
    <row r="37" spans="1:7" s="10" customFormat="1" ht="33">
      <c r="A37" s="25"/>
      <c r="B37" s="46" t="s">
        <v>246</v>
      </c>
      <c r="C37" s="53"/>
      <c r="D37" s="70">
        <f>D36</f>
        <v>107.5</v>
      </c>
      <c r="E37" s="12">
        <f>228000/2</f>
        <v>114000</v>
      </c>
      <c r="F37" s="15">
        <v>1</v>
      </c>
      <c r="G37" s="7">
        <f>F37*E37*D37</f>
        <v>12255000</v>
      </c>
    </row>
    <row r="38" spans="1:7" s="10" customFormat="1" ht="16.5">
      <c r="A38" s="23"/>
      <c r="B38" s="47" t="s">
        <v>55</v>
      </c>
      <c r="C38" s="30" t="s">
        <v>17</v>
      </c>
      <c r="D38" s="71">
        <v>3</v>
      </c>
      <c r="E38" s="7">
        <v>168000</v>
      </c>
      <c r="F38" s="16">
        <v>1</v>
      </c>
      <c r="G38" s="7">
        <f aca="true" t="shared" si="1" ref="G38:G48">F38*E38*D38</f>
        <v>504000</v>
      </c>
    </row>
    <row r="39" spans="1:7" s="10" customFormat="1" ht="16.5">
      <c r="A39" s="23"/>
      <c r="B39" s="47" t="s">
        <v>108</v>
      </c>
      <c r="C39" s="30" t="s">
        <v>17</v>
      </c>
      <c r="D39" s="71">
        <v>35</v>
      </c>
      <c r="E39" s="7">
        <v>69000</v>
      </c>
      <c r="F39" s="16">
        <v>1</v>
      </c>
      <c r="G39" s="7">
        <f t="shared" si="1"/>
        <v>2415000</v>
      </c>
    </row>
    <row r="40" spans="1:7" s="10" customFormat="1" ht="16.5">
      <c r="A40" s="23"/>
      <c r="B40" s="47" t="s">
        <v>26</v>
      </c>
      <c r="C40" s="30" t="s">
        <v>17</v>
      </c>
      <c r="D40" s="71">
        <v>130</v>
      </c>
      <c r="E40" s="7">
        <v>4000</v>
      </c>
      <c r="F40" s="16">
        <v>1</v>
      </c>
      <c r="G40" s="7">
        <f t="shared" si="1"/>
        <v>520000</v>
      </c>
    </row>
    <row r="41" spans="1:7" s="10" customFormat="1" ht="16.5">
      <c r="A41" s="23"/>
      <c r="B41" s="47" t="s">
        <v>122</v>
      </c>
      <c r="C41" s="30" t="s">
        <v>17</v>
      </c>
      <c r="D41" s="71">
        <v>1</v>
      </c>
      <c r="E41" s="7">
        <v>106000</v>
      </c>
      <c r="F41" s="16">
        <v>1</v>
      </c>
      <c r="G41" s="7">
        <f t="shared" si="1"/>
        <v>106000</v>
      </c>
    </row>
    <row r="42" spans="1:7" s="10" customFormat="1" ht="16.5">
      <c r="A42" s="23"/>
      <c r="B42" s="47" t="s">
        <v>123</v>
      </c>
      <c r="C42" s="30" t="s">
        <v>17</v>
      </c>
      <c r="D42" s="71">
        <v>4</v>
      </c>
      <c r="E42" s="7">
        <v>387000</v>
      </c>
      <c r="F42" s="16">
        <v>1</v>
      </c>
      <c r="G42" s="7">
        <f t="shared" si="1"/>
        <v>1548000</v>
      </c>
    </row>
    <row r="43" spans="1:7" s="83" customFormat="1" ht="16.5">
      <c r="A43" s="79"/>
      <c r="B43" s="65" t="s">
        <v>231</v>
      </c>
      <c r="C43" s="80" t="s">
        <v>17</v>
      </c>
      <c r="D43" s="72">
        <v>6</v>
      </c>
      <c r="E43" s="81">
        <v>7790</v>
      </c>
      <c r="F43" s="82">
        <v>1</v>
      </c>
      <c r="G43" s="81">
        <f t="shared" si="1"/>
        <v>46740</v>
      </c>
    </row>
    <row r="44" spans="1:7" s="10" customFormat="1" ht="16.5">
      <c r="A44" s="23"/>
      <c r="B44" s="47" t="s">
        <v>18</v>
      </c>
      <c r="C44" s="30" t="s">
        <v>17</v>
      </c>
      <c r="D44" s="71">
        <v>18</v>
      </c>
      <c r="E44" s="7">
        <v>25100</v>
      </c>
      <c r="F44" s="16">
        <v>1</v>
      </c>
      <c r="G44" s="7">
        <f t="shared" si="1"/>
        <v>451800</v>
      </c>
    </row>
    <row r="45" spans="1:7" s="10" customFormat="1" ht="16.5">
      <c r="A45" s="23"/>
      <c r="B45" s="47" t="s">
        <v>125</v>
      </c>
      <c r="C45" s="30" t="s">
        <v>17</v>
      </c>
      <c r="D45" s="71">
        <v>4</v>
      </c>
      <c r="E45" s="7">
        <v>31150</v>
      </c>
      <c r="F45" s="16">
        <v>1</v>
      </c>
      <c r="G45" s="7">
        <f t="shared" si="1"/>
        <v>124600</v>
      </c>
    </row>
    <row r="46" spans="1:7" s="10" customFormat="1" ht="16.5">
      <c r="A46" s="23"/>
      <c r="B46" s="47" t="s">
        <v>126</v>
      </c>
      <c r="C46" s="30" t="s">
        <v>10</v>
      </c>
      <c r="D46" s="71">
        <v>20</v>
      </c>
      <c r="E46" s="7">
        <v>7260</v>
      </c>
      <c r="F46" s="16">
        <v>1</v>
      </c>
      <c r="G46" s="7">
        <f t="shared" si="1"/>
        <v>145200</v>
      </c>
    </row>
    <row r="47" spans="1:7" s="10" customFormat="1" ht="16.5">
      <c r="A47" s="23"/>
      <c r="B47" s="47" t="s">
        <v>127</v>
      </c>
      <c r="C47" s="30" t="s">
        <v>10</v>
      </c>
      <c r="D47" s="71">
        <v>3</v>
      </c>
      <c r="E47" s="7">
        <v>3960</v>
      </c>
      <c r="F47" s="16">
        <v>1</v>
      </c>
      <c r="G47" s="7">
        <f t="shared" si="1"/>
        <v>11880</v>
      </c>
    </row>
    <row r="48" spans="1:7" s="83" customFormat="1" ht="16.5">
      <c r="A48" s="84"/>
      <c r="B48" s="85" t="s">
        <v>232</v>
      </c>
      <c r="C48" s="86" t="s">
        <v>13</v>
      </c>
      <c r="D48" s="87">
        <v>2</v>
      </c>
      <c r="E48" s="88">
        <v>3420000</v>
      </c>
      <c r="F48" s="89">
        <v>1</v>
      </c>
      <c r="G48" s="88">
        <f t="shared" si="1"/>
        <v>6840000</v>
      </c>
    </row>
    <row r="49" spans="1:7" s="20" customFormat="1" ht="33">
      <c r="A49" s="42">
        <v>4</v>
      </c>
      <c r="B49" s="45" t="s">
        <v>248</v>
      </c>
      <c r="C49" s="54"/>
      <c r="D49" s="74"/>
      <c r="E49" s="13"/>
      <c r="F49" s="18"/>
      <c r="G49" s="13">
        <f>ROUND(SUM(G50:G97),-3)</f>
        <v>835733000</v>
      </c>
    </row>
    <row r="50" spans="1:7" s="10" customFormat="1" ht="19.5">
      <c r="A50" s="25"/>
      <c r="B50" s="46" t="s">
        <v>247</v>
      </c>
      <c r="C50" s="53" t="s">
        <v>207</v>
      </c>
      <c r="D50" s="70">
        <v>287.5</v>
      </c>
      <c r="E50" s="12">
        <v>30000</v>
      </c>
      <c r="F50" s="15">
        <v>1</v>
      </c>
      <c r="G50" s="7">
        <f>F50*E50*D50</f>
        <v>8625000</v>
      </c>
    </row>
    <row r="51" spans="1:7" s="10" customFormat="1" ht="33">
      <c r="A51" s="25"/>
      <c r="B51" s="46" t="s">
        <v>246</v>
      </c>
      <c r="C51" s="53" t="s">
        <v>207</v>
      </c>
      <c r="D51" s="70">
        <f>D50</f>
        <v>287.5</v>
      </c>
      <c r="E51" s="12">
        <f>228000/2</f>
        <v>114000</v>
      </c>
      <c r="F51" s="15">
        <v>1</v>
      </c>
      <c r="G51" s="7">
        <f>F51*E51*D51</f>
        <v>32775000</v>
      </c>
    </row>
    <row r="52" spans="1:7" s="10" customFormat="1" ht="33">
      <c r="A52" s="23"/>
      <c r="B52" s="47" t="s">
        <v>88</v>
      </c>
      <c r="C52" s="30" t="s">
        <v>10</v>
      </c>
      <c r="D52" s="71">
        <f>5.4*8.2</f>
        <v>44.28</v>
      </c>
      <c r="E52" s="7">
        <v>4195000</v>
      </c>
      <c r="F52" s="16">
        <v>1.08</v>
      </c>
      <c r="G52" s="7">
        <f aca="true" t="shared" si="2" ref="G52:G97">F52*E52*D52</f>
        <v>200614968</v>
      </c>
    </row>
    <row r="53" spans="1:7" s="10" customFormat="1" ht="33">
      <c r="A53" s="23"/>
      <c r="B53" s="47" t="s">
        <v>89</v>
      </c>
      <c r="C53" s="30" t="s">
        <v>10</v>
      </c>
      <c r="D53" s="71">
        <f>2.9*8.2</f>
        <v>23.779999999999998</v>
      </c>
      <c r="E53" s="7">
        <v>4195000</v>
      </c>
      <c r="F53" s="16">
        <v>1.08</v>
      </c>
      <c r="G53" s="7">
        <f t="shared" si="2"/>
        <v>107737667.99999999</v>
      </c>
    </row>
    <row r="54" spans="1:7" s="10" customFormat="1" ht="49.5">
      <c r="A54" s="23"/>
      <c r="B54" s="47" t="s">
        <v>223</v>
      </c>
      <c r="C54" s="30" t="s">
        <v>10</v>
      </c>
      <c r="D54" s="71">
        <f>5.1*8.3</f>
        <v>42.33</v>
      </c>
      <c r="E54" s="7">
        <v>3950000</v>
      </c>
      <c r="F54" s="16">
        <v>1.08</v>
      </c>
      <c r="G54" s="7">
        <f t="shared" si="2"/>
        <v>180579780</v>
      </c>
    </row>
    <row r="55" spans="1:7" s="10" customFormat="1" ht="49.5">
      <c r="A55" s="23"/>
      <c r="B55" s="47" t="s">
        <v>233</v>
      </c>
      <c r="C55" s="30" t="s">
        <v>10</v>
      </c>
      <c r="D55" s="71">
        <f>3.6*14.5</f>
        <v>52.2</v>
      </c>
      <c r="E55" s="7">
        <v>2430000</v>
      </c>
      <c r="F55" s="16">
        <v>1.08</v>
      </c>
      <c r="G55" s="7">
        <f t="shared" si="2"/>
        <v>136993680</v>
      </c>
    </row>
    <row r="56" spans="1:7" s="10" customFormat="1" ht="33">
      <c r="A56" s="23"/>
      <c r="B56" s="47" t="s">
        <v>90</v>
      </c>
      <c r="C56" s="30" t="s">
        <v>10</v>
      </c>
      <c r="D56" s="71">
        <f>5.1*3.9</f>
        <v>19.889999999999997</v>
      </c>
      <c r="E56" s="7">
        <f>510000+276000</f>
        <v>786000</v>
      </c>
      <c r="F56" s="16">
        <v>1.08</v>
      </c>
      <c r="G56" s="7">
        <f t="shared" si="2"/>
        <v>16884223.2</v>
      </c>
    </row>
    <row r="57" spans="1:7" s="10" customFormat="1" ht="33">
      <c r="A57" s="23"/>
      <c r="B57" s="47" t="s">
        <v>91</v>
      </c>
      <c r="C57" s="30" t="s">
        <v>10</v>
      </c>
      <c r="D57" s="71">
        <f>8.3*4.3</f>
        <v>35.690000000000005</v>
      </c>
      <c r="E57" s="7">
        <f>510000+276000</f>
        <v>786000</v>
      </c>
      <c r="F57" s="16">
        <v>1.08</v>
      </c>
      <c r="G57" s="7">
        <f t="shared" si="2"/>
        <v>30296527.200000003</v>
      </c>
    </row>
    <row r="58" spans="1:7" s="10" customFormat="1" ht="33">
      <c r="A58" s="23"/>
      <c r="B58" s="47" t="s">
        <v>92</v>
      </c>
      <c r="C58" s="30" t="s">
        <v>10</v>
      </c>
      <c r="D58" s="71">
        <f>3.2*2.4</f>
        <v>7.68</v>
      </c>
      <c r="E58" s="7">
        <v>415000</v>
      </c>
      <c r="F58" s="16">
        <v>1.08</v>
      </c>
      <c r="G58" s="7">
        <f t="shared" si="2"/>
        <v>3442176.0000000005</v>
      </c>
    </row>
    <row r="59" spans="1:7" s="10" customFormat="1" ht="33">
      <c r="A59" s="23"/>
      <c r="B59" s="47" t="s">
        <v>93</v>
      </c>
      <c r="C59" s="30" t="s">
        <v>10</v>
      </c>
      <c r="D59" s="71">
        <f>2*2.4</f>
        <v>4.8</v>
      </c>
      <c r="E59" s="7">
        <f>349000+276000</f>
        <v>625000</v>
      </c>
      <c r="F59" s="16">
        <v>1.08</v>
      </c>
      <c r="G59" s="7">
        <f t="shared" si="2"/>
        <v>3240000</v>
      </c>
    </row>
    <row r="60" spans="1:7" s="83" customFormat="1" ht="16.5">
      <c r="A60" s="79"/>
      <c r="B60" s="65" t="s">
        <v>94</v>
      </c>
      <c r="C60" s="80" t="s">
        <v>203</v>
      </c>
      <c r="D60" s="72">
        <f>2.9*0.7*0.1</f>
        <v>0.20299999999999999</v>
      </c>
      <c r="E60" s="81">
        <v>1944000</v>
      </c>
      <c r="F60" s="82">
        <v>1.08</v>
      </c>
      <c r="G60" s="81">
        <f t="shared" si="2"/>
        <v>426202.56</v>
      </c>
    </row>
    <row r="61" spans="1:7" s="83" customFormat="1" ht="16.5">
      <c r="A61" s="79"/>
      <c r="B61" s="65" t="s">
        <v>95</v>
      </c>
      <c r="C61" s="80" t="s">
        <v>203</v>
      </c>
      <c r="D61" s="72">
        <f>0.7*0.8*0.12</f>
        <v>0.0672</v>
      </c>
      <c r="E61" s="81">
        <v>1624000</v>
      </c>
      <c r="F61" s="82">
        <v>1.08</v>
      </c>
      <c r="G61" s="81">
        <f t="shared" si="2"/>
        <v>117863.424</v>
      </c>
    </row>
    <row r="62" spans="1:7" s="10" customFormat="1" ht="21.75" customHeight="1">
      <c r="A62" s="23"/>
      <c r="B62" s="47" t="s">
        <v>96</v>
      </c>
      <c r="C62" s="30" t="s">
        <v>10</v>
      </c>
      <c r="D62" s="71">
        <f>(2.9*0.7)+(3.8*0.6)</f>
        <v>4.31</v>
      </c>
      <c r="E62" s="7">
        <v>300000</v>
      </c>
      <c r="F62" s="16">
        <v>1.08</v>
      </c>
      <c r="G62" s="7">
        <f t="shared" si="2"/>
        <v>1396439.9999999998</v>
      </c>
    </row>
    <row r="63" spans="1:7" s="10" customFormat="1" ht="16.5">
      <c r="A63" s="23"/>
      <c r="B63" s="47" t="s">
        <v>97</v>
      </c>
      <c r="C63" s="30" t="s">
        <v>10</v>
      </c>
      <c r="D63" s="71">
        <f>(6.3*1.6)+(5.3*0.8)</f>
        <v>14.32</v>
      </c>
      <c r="E63" s="7">
        <v>300000</v>
      </c>
      <c r="F63" s="16">
        <v>1.08</v>
      </c>
      <c r="G63" s="7">
        <f t="shared" si="2"/>
        <v>4639680</v>
      </c>
    </row>
    <row r="64" spans="1:7" s="10" customFormat="1" ht="39" customHeight="1">
      <c r="A64" s="23"/>
      <c r="B64" s="47" t="s">
        <v>98</v>
      </c>
      <c r="C64" s="30" t="s">
        <v>10</v>
      </c>
      <c r="D64" s="71">
        <f>((6.2+8+3.1)*1.4)+((4.7*3)-(0.7*2.2)-(1.6*1.4))</f>
        <v>34.54</v>
      </c>
      <c r="E64" s="7">
        <v>300000</v>
      </c>
      <c r="F64" s="16">
        <v>1.08</v>
      </c>
      <c r="G64" s="7">
        <f t="shared" si="2"/>
        <v>11190960</v>
      </c>
    </row>
    <row r="65" spans="1:7" s="10" customFormat="1" ht="33">
      <c r="A65" s="23"/>
      <c r="B65" s="47" t="s">
        <v>99</v>
      </c>
      <c r="C65" s="30" t="s">
        <v>10</v>
      </c>
      <c r="D65" s="71">
        <f>(8.2+3.7+7.3)*1.4+(10*3)-(1.2*2.4)*4</f>
        <v>45.36</v>
      </c>
      <c r="E65" s="7">
        <v>300000</v>
      </c>
      <c r="F65" s="16">
        <v>1.08</v>
      </c>
      <c r="G65" s="7">
        <f t="shared" si="2"/>
        <v>14696640</v>
      </c>
    </row>
    <row r="66" spans="1:7" s="10" customFormat="1" ht="16.5">
      <c r="A66" s="23"/>
      <c r="B66" s="47" t="s">
        <v>100</v>
      </c>
      <c r="C66" s="30" t="s">
        <v>10</v>
      </c>
      <c r="D66" s="71">
        <f>0.8*3*4</f>
        <v>9.600000000000001</v>
      </c>
      <c r="E66" s="7">
        <v>300000</v>
      </c>
      <c r="F66" s="16">
        <v>1.08</v>
      </c>
      <c r="G66" s="7">
        <f t="shared" si="2"/>
        <v>3110400.0000000005</v>
      </c>
    </row>
    <row r="67" spans="1:7" s="10" customFormat="1" ht="16.5">
      <c r="A67" s="23"/>
      <c r="B67" s="47" t="s">
        <v>249</v>
      </c>
      <c r="C67" s="30" t="s">
        <v>10</v>
      </c>
      <c r="D67" s="71">
        <f>(13.7+8.8)*0.2</f>
        <v>4.5</v>
      </c>
      <c r="E67" s="7">
        <v>300000</v>
      </c>
      <c r="F67" s="16">
        <v>1.08</v>
      </c>
      <c r="G67" s="7">
        <f t="shared" si="2"/>
        <v>1458000</v>
      </c>
    </row>
    <row r="68" spans="1:7" s="10" customFormat="1" ht="16.5">
      <c r="A68" s="23"/>
      <c r="B68" s="47" t="s">
        <v>101</v>
      </c>
      <c r="C68" s="30" t="s">
        <v>10</v>
      </c>
      <c r="D68" s="71">
        <f>6.8*1.2</f>
        <v>8.16</v>
      </c>
      <c r="E68" s="7">
        <v>300000</v>
      </c>
      <c r="F68" s="16">
        <v>1.08</v>
      </c>
      <c r="G68" s="7">
        <f t="shared" si="2"/>
        <v>2643840</v>
      </c>
    </row>
    <row r="69" spans="1:7" s="10" customFormat="1" ht="33">
      <c r="A69" s="23"/>
      <c r="B69" s="47" t="s">
        <v>221</v>
      </c>
      <c r="C69" s="30" t="s">
        <v>10</v>
      </c>
      <c r="D69" s="71">
        <f>(10*7.1)+(1.8*3.7)+(4.7*3.1)+(1.6*11.9)+(1.6*6.2)</f>
        <v>121.19</v>
      </c>
      <c r="E69" s="7">
        <v>276000</v>
      </c>
      <c r="F69" s="16">
        <v>1.08</v>
      </c>
      <c r="G69" s="7">
        <f t="shared" si="2"/>
        <v>36124315.2</v>
      </c>
    </row>
    <row r="70" spans="1:7" s="10" customFormat="1" ht="16.5">
      <c r="A70" s="23"/>
      <c r="B70" s="47" t="s">
        <v>102</v>
      </c>
      <c r="C70" s="30" t="s">
        <v>10</v>
      </c>
      <c r="D70" s="71">
        <f>3.7*2.2</f>
        <v>8.14</v>
      </c>
      <c r="E70" s="7">
        <v>600000</v>
      </c>
      <c r="F70" s="16">
        <v>1.08</v>
      </c>
      <c r="G70" s="7">
        <f t="shared" si="2"/>
        <v>5274720</v>
      </c>
    </row>
    <row r="71" spans="1:7" s="10" customFormat="1" ht="33">
      <c r="A71" s="23"/>
      <c r="B71" s="47" t="s">
        <v>103</v>
      </c>
      <c r="C71" s="30" t="s">
        <v>10</v>
      </c>
      <c r="D71" s="71">
        <f>10.6*1.1</f>
        <v>11.66</v>
      </c>
      <c r="E71" s="7">
        <v>700000</v>
      </c>
      <c r="F71" s="16">
        <v>1.08</v>
      </c>
      <c r="G71" s="7">
        <f t="shared" si="2"/>
        <v>8814960</v>
      </c>
    </row>
    <row r="72" spans="1:7" s="10" customFormat="1" ht="16.5">
      <c r="A72" s="23"/>
      <c r="B72" s="47" t="s">
        <v>104</v>
      </c>
      <c r="C72" s="30" t="s">
        <v>10</v>
      </c>
      <c r="D72" s="71">
        <f>10.4*1.5</f>
        <v>15.600000000000001</v>
      </c>
      <c r="E72" s="7">
        <v>10000</v>
      </c>
      <c r="F72" s="16">
        <v>1</v>
      </c>
      <c r="G72" s="7">
        <f t="shared" si="2"/>
        <v>156000</v>
      </c>
    </row>
    <row r="73" spans="1:7" s="83" customFormat="1" ht="16.5">
      <c r="A73" s="79"/>
      <c r="B73" s="65" t="s">
        <v>105</v>
      </c>
      <c r="C73" s="80" t="s">
        <v>203</v>
      </c>
      <c r="D73" s="72">
        <f>0.15*0.15*1.5*5</f>
        <v>0.16875</v>
      </c>
      <c r="E73" s="81">
        <v>2500000</v>
      </c>
      <c r="F73" s="82">
        <v>1.08</v>
      </c>
      <c r="G73" s="81">
        <f t="shared" si="2"/>
        <v>455625.00000000006</v>
      </c>
    </row>
    <row r="74" spans="1:7" s="10" customFormat="1" ht="16.5">
      <c r="A74" s="23"/>
      <c r="B74" s="47" t="s">
        <v>12</v>
      </c>
      <c r="C74" s="30" t="s">
        <v>13</v>
      </c>
      <c r="D74" s="71">
        <v>1</v>
      </c>
      <c r="E74" s="7">
        <v>1200000</v>
      </c>
      <c r="F74" s="16">
        <v>1.08</v>
      </c>
      <c r="G74" s="7">
        <f t="shared" si="2"/>
        <v>1296000</v>
      </c>
    </row>
    <row r="75" spans="1:7" s="10" customFormat="1" ht="16.5">
      <c r="A75" s="23"/>
      <c r="B75" s="47" t="s">
        <v>76</v>
      </c>
      <c r="C75" s="30" t="s">
        <v>13</v>
      </c>
      <c r="D75" s="71">
        <v>1</v>
      </c>
      <c r="E75" s="7">
        <v>700000</v>
      </c>
      <c r="F75" s="16">
        <v>1.08</v>
      </c>
      <c r="G75" s="7">
        <f t="shared" si="2"/>
        <v>756000</v>
      </c>
    </row>
    <row r="76" spans="1:7" s="10" customFormat="1" ht="16.5">
      <c r="A76" s="23"/>
      <c r="B76" s="47" t="s">
        <v>106</v>
      </c>
      <c r="C76" s="30" t="s">
        <v>205</v>
      </c>
      <c r="D76" s="71">
        <v>11</v>
      </c>
      <c r="E76" s="7">
        <v>600000</v>
      </c>
      <c r="F76" s="16">
        <v>1.08</v>
      </c>
      <c r="G76" s="7">
        <f t="shared" si="2"/>
        <v>7128000</v>
      </c>
    </row>
    <row r="77" spans="1:7" s="10" customFormat="1" ht="16.5">
      <c r="A77" s="23"/>
      <c r="B77" s="47" t="s">
        <v>16</v>
      </c>
      <c r="C77" s="30" t="s">
        <v>82</v>
      </c>
      <c r="D77" s="71">
        <v>45</v>
      </c>
      <c r="E77" s="7">
        <v>25000</v>
      </c>
      <c r="F77" s="16">
        <v>1</v>
      </c>
      <c r="G77" s="7">
        <f t="shared" si="2"/>
        <v>1125000</v>
      </c>
    </row>
    <row r="78" spans="1:7" s="10" customFormat="1" ht="16.5">
      <c r="A78" s="23"/>
      <c r="B78" s="47" t="s">
        <v>14</v>
      </c>
      <c r="C78" s="30" t="s">
        <v>82</v>
      </c>
      <c r="D78" s="71">
        <v>25</v>
      </c>
      <c r="E78" s="7">
        <v>25000</v>
      </c>
      <c r="F78" s="16">
        <v>1</v>
      </c>
      <c r="G78" s="7">
        <f t="shared" si="2"/>
        <v>625000</v>
      </c>
    </row>
    <row r="79" spans="1:7" s="10" customFormat="1" ht="16.5">
      <c r="A79" s="23"/>
      <c r="B79" s="47" t="s">
        <v>107</v>
      </c>
      <c r="C79" s="30" t="s">
        <v>17</v>
      </c>
      <c r="D79" s="71">
        <v>6</v>
      </c>
      <c r="E79" s="7">
        <v>168000</v>
      </c>
      <c r="F79" s="16">
        <v>1</v>
      </c>
      <c r="G79" s="7">
        <f t="shared" si="2"/>
        <v>1008000</v>
      </c>
    </row>
    <row r="80" spans="1:7" s="10" customFormat="1" ht="16.5">
      <c r="A80" s="23"/>
      <c r="B80" s="47" t="s">
        <v>108</v>
      </c>
      <c r="C80" s="30" t="s">
        <v>17</v>
      </c>
      <c r="D80" s="71">
        <v>30</v>
      </c>
      <c r="E80" s="7">
        <v>69000</v>
      </c>
      <c r="F80" s="16">
        <v>1</v>
      </c>
      <c r="G80" s="7">
        <f t="shared" si="2"/>
        <v>2070000</v>
      </c>
    </row>
    <row r="81" spans="1:7" s="10" customFormat="1" ht="16.5">
      <c r="A81" s="23"/>
      <c r="B81" s="47" t="s">
        <v>109</v>
      </c>
      <c r="C81" s="30" t="s">
        <v>17</v>
      </c>
      <c r="D81" s="71">
        <v>3</v>
      </c>
      <c r="E81" s="7">
        <v>387000</v>
      </c>
      <c r="F81" s="16">
        <v>1</v>
      </c>
      <c r="G81" s="7">
        <f t="shared" si="2"/>
        <v>1161000</v>
      </c>
    </row>
    <row r="82" spans="1:7" s="10" customFormat="1" ht="16.5">
      <c r="A82" s="23"/>
      <c r="B82" s="47" t="s">
        <v>110</v>
      </c>
      <c r="C82" s="30" t="s">
        <v>17</v>
      </c>
      <c r="D82" s="71">
        <v>6</v>
      </c>
      <c r="E82" s="7">
        <v>282000</v>
      </c>
      <c r="F82" s="16">
        <v>1</v>
      </c>
      <c r="G82" s="7">
        <f t="shared" si="2"/>
        <v>1692000</v>
      </c>
    </row>
    <row r="83" spans="1:7" s="10" customFormat="1" ht="16.5">
      <c r="A83" s="23"/>
      <c r="B83" s="47" t="s">
        <v>111</v>
      </c>
      <c r="C83" s="30" t="s">
        <v>17</v>
      </c>
      <c r="D83" s="71">
        <v>1</v>
      </c>
      <c r="E83" s="7">
        <v>267000</v>
      </c>
      <c r="F83" s="16">
        <v>1</v>
      </c>
      <c r="G83" s="7">
        <f t="shared" si="2"/>
        <v>267000</v>
      </c>
    </row>
    <row r="84" spans="1:7" s="10" customFormat="1" ht="16.5">
      <c r="A84" s="23"/>
      <c r="B84" s="47" t="s">
        <v>112</v>
      </c>
      <c r="C84" s="30" t="s">
        <v>17</v>
      </c>
      <c r="D84" s="71">
        <v>3</v>
      </c>
      <c r="E84" s="7">
        <v>214000</v>
      </c>
      <c r="F84" s="16">
        <v>1</v>
      </c>
      <c r="G84" s="7">
        <f t="shared" si="2"/>
        <v>642000</v>
      </c>
    </row>
    <row r="85" spans="1:7" s="10" customFormat="1" ht="16.5">
      <c r="A85" s="23"/>
      <c r="B85" s="47" t="s">
        <v>20</v>
      </c>
      <c r="C85" s="30" t="s">
        <v>17</v>
      </c>
      <c r="D85" s="71">
        <v>19</v>
      </c>
      <c r="E85" s="7">
        <v>34060</v>
      </c>
      <c r="F85" s="16">
        <v>1</v>
      </c>
      <c r="G85" s="7">
        <f t="shared" si="2"/>
        <v>647140</v>
      </c>
    </row>
    <row r="86" spans="1:7" s="10" customFormat="1" ht="16.5">
      <c r="A86" s="23"/>
      <c r="B86" s="47" t="s">
        <v>113</v>
      </c>
      <c r="C86" s="30" t="s">
        <v>17</v>
      </c>
      <c r="D86" s="71">
        <v>12</v>
      </c>
      <c r="E86" s="7">
        <v>31150</v>
      </c>
      <c r="F86" s="16">
        <v>1</v>
      </c>
      <c r="G86" s="7">
        <f t="shared" si="2"/>
        <v>373800</v>
      </c>
    </row>
    <row r="87" spans="1:7" s="10" customFormat="1" ht="16.5">
      <c r="A87" s="23"/>
      <c r="B87" s="47" t="s">
        <v>114</v>
      </c>
      <c r="C87" s="30" t="s">
        <v>17</v>
      </c>
      <c r="D87" s="71">
        <v>8</v>
      </c>
      <c r="E87" s="7">
        <v>20990</v>
      </c>
      <c r="F87" s="16">
        <v>1</v>
      </c>
      <c r="G87" s="7">
        <f t="shared" si="2"/>
        <v>167920</v>
      </c>
    </row>
    <row r="88" spans="1:7" s="10" customFormat="1" ht="16.5">
      <c r="A88" s="23"/>
      <c r="B88" s="47" t="s">
        <v>26</v>
      </c>
      <c r="C88" s="30" t="s">
        <v>17</v>
      </c>
      <c r="D88" s="71">
        <v>11</v>
      </c>
      <c r="E88" s="7">
        <v>4000</v>
      </c>
      <c r="F88" s="16">
        <v>1</v>
      </c>
      <c r="G88" s="7">
        <f t="shared" si="2"/>
        <v>44000</v>
      </c>
    </row>
    <row r="89" spans="1:7" s="10" customFormat="1" ht="16.5">
      <c r="A89" s="23"/>
      <c r="B89" s="47" t="s">
        <v>21</v>
      </c>
      <c r="C89" s="30" t="s">
        <v>17</v>
      </c>
      <c r="D89" s="71">
        <v>3</v>
      </c>
      <c r="E89" s="7">
        <v>25100</v>
      </c>
      <c r="F89" s="16">
        <v>1</v>
      </c>
      <c r="G89" s="7">
        <f t="shared" si="2"/>
        <v>75300</v>
      </c>
    </row>
    <row r="90" spans="1:7" s="10" customFormat="1" ht="16.5">
      <c r="A90" s="23"/>
      <c r="B90" s="47" t="s">
        <v>115</v>
      </c>
      <c r="C90" s="30" t="s">
        <v>116</v>
      </c>
      <c r="D90" s="71">
        <v>2</v>
      </c>
      <c r="E90" s="7">
        <v>110000</v>
      </c>
      <c r="F90" s="16">
        <v>1</v>
      </c>
      <c r="G90" s="7">
        <f t="shared" si="2"/>
        <v>220000</v>
      </c>
    </row>
    <row r="91" spans="1:7" s="10" customFormat="1" ht="16.5">
      <c r="A91" s="23"/>
      <c r="B91" s="47" t="s">
        <v>18</v>
      </c>
      <c r="C91" s="30" t="s">
        <v>17</v>
      </c>
      <c r="D91" s="71">
        <v>80</v>
      </c>
      <c r="E91" s="7">
        <v>25100</v>
      </c>
      <c r="F91" s="16">
        <v>1</v>
      </c>
      <c r="G91" s="7">
        <f t="shared" si="2"/>
        <v>2008000</v>
      </c>
    </row>
    <row r="92" spans="1:7" s="10" customFormat="1" ht="16.5">
      <c r="A92" s="23"/>
      <c r="B92" s="47" t="s">
        <v>117</v>
      </c>
      <c r="C92" s="30" t="s">
        <v>10</v>
      </c>
      <c r="D92" s="71">
        <v>5</v>
      </c>
      <c r="E92" s="7">
        <v>7260</v>
      </c>
      <c r="F92" s="16">
        <v>1</v>
      </c>
      <c r="G92" s="7">
        <f t="shared" si="2"/>
        <v>36300</v>
      </c>
    </row>
    <row r="93" spans="1:7" s="10" customFormat="1" ht="16.5">
      <c r="A93" s="23"/>
      <c r="B93" s="47" t="s">
        <v>118</v>
      </c>
      <c r="C93" s="30" t="s">
        <v>17</v>
      </c>
      <c r="D93" s="71">
        <v>5</v>
      </c>
      <c r="E93" s="7">
        <v>250000</v>
      </c>
      <c r="F93" s="16">
        <v>1</v>
      </c>
      <c r="G93" s="7">
        <f t="shared" si="2"/>
        <v>1250000</v>
      </c>
    </row>
    <row r="94" spans="1:7" s="10" customFormat="1" ht="16.5">
      <c r="A94" s="23"/>
      <c r="B94" s="47" t="s">
        <v>119</v>
      </c>
      <c r="C94" s="30" t="s">
        <v>17</v>
      </c>
      <c r="D94" s="71">
        <v>10</v>
      </c>
      <c r="E94" s="7">
        <v>20000</v>
      </c>
      <c r="F94" s="16">
        <v>1</v>
      </c>
      <c r="G94" s="7">
        <f t="shared" si="2"/>
        <v>200000</v>
      </c>
    </row>
    <row r="95" spans="1:7" s="10" customFormat="1" ht="16.5">
      <c r="A95" s="23"/>
      <c r="B95" s="47" t="s">
        <v>25</v>
      </c>
      <c r="C95" s="30" t="s">
        <v>17</v>
      </c>
      <c r="D95" s="71">
        <v>2</v>
      </c>
      <c r="E95" s="7">
        <v>270000</v>
      </c>
      <c r="F95" s="16">
        <v>1</v>
      </c>
      <c r="G95" s="7">
        <f t="shared" si="2"/>
        <v>540000</v>
      </c>
    </row>
    <row r="96" spans="1:7" s="10" customFormat="1" ht="16.5">
      <c r="A96" s="23"/>
      <c r="B96" s="47" t="s">
        <v>120</v>
      </c>
      <c r="C96" s="30" t="s">
        <v>17</v>
      </c>
      <c r="D96" s="71">
        <v>6</v>
      </c>
      <c r="E96" s="7">
        <v>101000</v>
      </c>
      <c r="F96" s="16">
        <v>1</v>
      </c>
      <c r="G96" s="7">
        <f t="shared" si="2"/>
        <v>606000</v>
      </c>
    </row>
    <row r="97" spans="1:7" s="10" customFormat="1" ht="16.5">
      <c r="A97" s="37"/>
      <c r="B97" s="48" t="s">
        <v>121</v>
      </c>
      <c r="C97" s="38" t="s">
        <v>10</v>
      </c>
      <c r="D97" s="73">
        <v>10</v>
      </c>
      <c r="E97" s="8">
        <v>10000</v>
      </c>
      <c r="F97" s="17">
        <v>1</v>
      </c>
      <c r="G97" s="8">
        <f t="shared" si="2"/>
        <v>100000</v>
      </c>
    </row>
    <row r="98" spans="1:7" s="20" customFormat="1" ht="49.5">
      <c r="A98" s="42">
        <v>5</v>
      </c>
      <c r="B98" s="45" t="s">
        <v>250</v>
      </c>
      <c r="C98" s="54"/>
      <c r="D98" s="74"/>
      <c r="E98" s="13"/>
      <c r="F98" s="18"/>
      <c r="G98" s="13">
        <f>ROUND(SUM(G99:G151),-3)</f>
        <v>885645000</v>
      </c>
    </row>
    <row r="99" spans="1:7" s="10" customFormat="1" ht="19.5">
      <c r="A99" s="25"/>
      <c r="B99" s="46" t="s">
        <v>251</v>
      </c>
      <c r="C99" s="53" t="s">
        <v>207</v>
      </c>
      <c r="D99" s="70">
        <v>400</v>
      </c>
      <c r="E99" s="12">
        <v>228000</v>
      </c>
      <c r="F99" s="15">
        <v>1</v>
      </c>
      <c r="G99" s="7">
        <f>F99*E99*D99</f>
        <v>91200000</v>
      </c>
    </row>
    <row r="100" spans="1:7" s="10" customFormat="1" ht="19.5">
      <c r="A100" s="25"/>
      <c r="B100" s="46" t="s">
        <v>242</v>
      </c>
      <c r="C100" s="53" t="s">
        <v>207</v>
      </c>
      <c r="D100" s="70">
        <v>871.5</v>
      </c>
      <c r="E100" s="12">
        <v>30000</v>
      </c>
      <c r="F100" s="15">
        <v>1</v>
      </c>
      <c r="G100" s="7">
        <f>F100*E100*D100</f>
        <v>26145000</v>
      </c>
    </row>
    <row r="101" spans="1:7" s="10" customFormat="1" ht="33">
      <c r="A101" s="25"/>
      <c r="B101" s="46" t="s">
        <v>246</v>
      </c>
      <c r="C101" s="53" t="s">
        <v>207</v>
      </c>
      <c r="D101" s="70">
        <v>871.5</v>
      </c>
      <c r="E101" s="12">
        <f>228000/2</f>
        <v>114000</v>
      </c>
      <c r="F101" s="15">
        <v>1</v>
      </c>
      <c r="G101" s="7">
        <f>F101*E101*D101</f>
        <v>99351000</v>
      </c>
    </row>
    <row r="102" spans="1:7" s="10" customFormat="1" ht="49.5">
      <c r="A102" s="23"/>
      <c r="B102" s="47" t="s">
        <v>29</v>
      </c>
      <c r="C102" s="30" t="s">
        <v>10</v>
      </c>
      <c r="D102" s="71">
        <f>(5.2*8.9)+(6.4*8.6)</f>
        <v>101.32</v>
      </c>
      <c r="E102" s="7">
        <v>2850000</v>
      </c>
      <c r="F102" s="16">
        <v>1.08</v>
      </c>
      <c r="G102" s="7">
        <f aca="true" t="shared" si="3" ref="G102:G151">F102*E102*D102</f>
        <v>311862960</v>
      </c>
    </row>
    <row r="103" spans="1:7" s="10" customFormat="1" ht="33">
      <c r="A103" s="23"/>
      <c r="B103" s="47" t="s">
        <v>30</v>
      </c>
      <c r="C103" s="30" t="s">
        <v>10</v>
      </c>
      <c r="D103" s="71">
        <f>2*8.9</f>
        <v>17.8</v>
      </c>
      <c r="E103" s="7">
        <v>2850000</v>
      </c>
      <c r="F103" s="16">
        <v>1.08</v>
      </c>
      <c r="G103" s="7">
        <f t="shared" si="3"/>
        <v>54788400</v>
      </c>
    </row>
    <row r="104" spans="1:7" s="10" customFormat="1" ht="49.5">
      <c r="A104" s="23"/>
      <c r="B104" s="47" t="s">
        <v>31</v>
      </c>
      <c r="C104" s="30" t="s">
        <v>10</v>
      </c>
      <c r="D104" s="71">
        <f>3.3*6.8</f>
        <v>22.439999999999998</v>
      </c>
      <c r="E104" s="7">
        <v>1986000</v>
      </c>
      <c r="F104" s="16">
        <v>1.08</v>
      </c>
      <c r="G104" s="7">
        <f t="shared" si="3"/>
        <v>48131107.199999996</v>
      </c>
    </row>
    <row r="105" spans="1:7" s="10" customFormat="1" ht="33">
      <c r="A105" s="23"/>
      <c r="B105" s="47" t="s">
        <v>32</v>
      </c>
      <c r="C105" s="30" t="s">
        <v>10</v>
      </c>
      <c r="D105" s="71">
        <f>(3.4*8.5)+(1.2*4.3)</f>
        <v>34.059999999999995</v>
      </c>
      <c r="E105" s="7">
        <v>1000000</v>
      </c>
      <c r="F105" s="16">
        <v>1.08</v>
      </c>
      <c r="G105" s="7">
        <f t="shared" si="3"/>
        <v>36784799.99999999</v>
      </c>
    </row>
    <row r="106" spans="1:7" s="10" customFormat="1" ht="33">
      <c r="A106" s="23"/>
      <c r="B106" s="47" t="s">
        <v>33</v>
      </c>
      <c r="C106" s="30" t="s">
        <v>10</v>
      </c>
      <c r="D106" s="71">
        <f>5.6*6.4</f>
        <v>35.839999999999996</v>
      </c>
      <c r="E106" s="7">
        <f>510000+276000</f>
        <v>786000</v>
      </c>
      <c r="F106" s="16">
        <v>1.08</v>
      </c>
      <c r="G106" s="7">
        <f t="shared" si="3"/>
        <v>30423859.199999996</v>
      </c>
    </row>
    <row r="107" spans="1:7" s="10" customFormat="1" ht="33">
      <c r="A107" s="23"/>
      <c r="B107" s="47" t="s">
        <v>34</v>
      </c>
      <c r="C107" s="30" t="s">
        <v>10</v>
      </c>
      <c r="D107" s="71">
        <f>3.4*3.3</f>
        <v>11.219999999999999</v>
      </c>
      <c r="E107" s="7">
        <v>667000</v>
      </c>
      <c r="F107" s="16">
        <v>1.08</v>
      </c>
      <c r="G107" s="7">
        <f t="shared" si="3"/>
        <v>8082439.199999999</v>
      </c>
    </row>
    <row r="108" spans="1:7" s="10" customFormat="1" ht="33">
      <c r="A108" s="23"/>
      <c r="B108" s="47" t="s">
        <v>35</v>
      </c>
      <c r="C108" s="30" t="s">
        <v>10</v>
      </c>
      <c r="D108" s="71">
        <f>1.7*2.8</f>
        <v>4.76</v>
      </c>
      <c r="E108" s="7">
        <v>3450000</v>
      </c>
      <c r="F108" s="16">
        <v>1.08</v>
      </c>
      <c r="G108" s="7">
        <f t="shared" si="3"/>
        <v>17735760</v>
      </c>
    </row>
    <row r="109" spans="1:7" s="10" customFormat="1" ht="33">
      <c r="A109" s="23"/>
      <c r="B109" s="47" t="s">
        <v>36</v>
      </c>
      <c r="C109" s="30" t="s">
        <v>204</v>
      </c>
      <c r="D109" s="71">
        <v>5</v>
      </c>
      <c r="E109" s="7">
        <v>2880000</v>
      </c>
      <c r="F109" s="16">
        <v>1.08</v>
      </c>
      <c r="G109" s="7">
        <f t="shared" si="3"/>
        <v>15552000</v>
      </c>
    </row>
    <row r="110" spans="1:7" s="10" customFormat="1" ht="33">
      <c r="A110" s="23"/>
      <c r="B110" s="47" t="s">
        <v>37</v>
      </c>
      <c r="C110" s="30" t="s">
        <v>10</v>
      </c>
      <c r="D110" s="71">
        <f>(11.1*6.1)+(2.4*3.1)+(10*2.1)</f>
        <v>96.14999999999999</v>
      </c>
      <c r="E110" s="7">
        <v>276000</v>
      </c>
      <c r="F110" s="16">
        <v>1.08</v>
      </c>
      <c r="G110" s="7">
        <f t="shared" si="3"/>
        <v>28660391.999999996</v>
      </c>
    </row>
    <row r="111" spans="1:7" s="10" customFormat="1" ht="16.5">
      <c r="A111" s="23"/>
      <c r="B111" s="47" t="s">
        <v>38</v>
      </c>
      <c r="C111" s="30" t="s">
        <v>10</v>
      </c>
      <c r="D111" s="71">
        <f>(2.2*3.1)</f>
        <v>6.820000000000001</v>
      </c>
      <c r="E111" s="7">
        <v>600000</v>
      </c>
      <c r="F111" s="16">
        <v>1.08</v>
      </c>
      <c r="G111" s="7">
        <f t="shared" si="3"/>
        <v>4419360.000000001</v>
      </c>
    </row>
    <row r="112" spans="1:7" s="10" customFormat="1" ht="16.5">
      <c r="A112" s="23"/>
      <c r="B112" s="47" t="s">
        <v>39</v>
      </c>
      <c r="C112" s="30" t="s">
        <v>203</v>
      </c>
      <c r="D112" s="71">
        <f>0.5*0.5*2.5*2</f>
        <v>1.25</v>
      </c>
      <c r="E112" s="7">
        <v>2067000</v>
      </c>
      <c r="F112" s="16">
        <v>1.08</v>
      </c>
      <c r="G112" s="7">
        <f t="shared" si="3"/>
        <v>2790450</v>
      </c>
    </row>
    <row r="113" spans="1:7" s="10" customFormat="1" ht="16.5">
      <c r="A113" s="23"/>
      <c r="B113" s="47" t="s">
        <v>40</v>
      </c>
      <c r="C113" s="30" t="s">
        <v>10</v>
      </c>
      <c r="D113" s="71">
        <f>2*2.5*2</f>
        <v>10</v>
      </c>
      <c r="E113" s="7">
        <v>300000</v>
      </c>
      <c r="F113" s="16">
        <v>1.08</v>
      </c>
      <c r="G113" s="7">
        <f t="shared" si="3"/>
        <v>3240000</v>
      </c>
    </row>
    <row r="114" spans="1:7" s="10" customFormat="1" ht="16.5">
      <c r="A114" s="23"/>
      <c r="B114" s="47" t="s">
        <v>41</v>
      </c>
      <c r="C114" s="30" t="s">
        <v>42</v>
      </c>
      <c r="D114" s="71">
        <v>2</v>
      </c>
      <c r="E114" s="7">
        <v>4170000</v>
      </c>
      <c r="F114" s="16">
        <v>1.08</v>
      </c>
      <c r="G114" s="7">
        <f t="shared" si="3"/>
        <v>9007200</v>
      </c>
    </row>
    <row r="115" spans="1:7" s="10" customFormat="1" ht="16.5">
      <c r="A115" s="23"/>
      <c r="B115" s="47" t="s">
        <v>43</v>
      </c>
      <c r="C115" s="30" t="s">
        <v>10</v>
      </c>
      <c r="D115" s="71">
        <f>(2.4*1.3)+(2.5*2)</f>
        <v>8.120000000000001</v>
      </c>
      <c r="E115" s="7">
        <v>123000</v>
      </c>
      <c r="F115" s="16">
        <v>1.08</v>
      </c>
      <c r="G115" s="7">
        <f t="shared" si="3"/>
        <v>1078660.8</v>
      </c>
    </row>
    <row r="116" spans="1:7" s="10" customFormat="1" ht="16.5">
      <c r="A116" s="23"/>
      <c r="B116" s="47" t="s">
        <v>44</v>
      </c>
      <c r="C116" s="30" t="s">
        <v>10</v>
      </c>
      <c r="D116" s="71">
        <f>5.5*5.1</f>
        <v>28.049999999999997</v>
      </c>
      <c r="E116" s="7">
        <v>300000</v>
      </c>
      <c r="F116" s="16">
        <v>1.08</v>
      </c>
      <c r="G116" s="7">
        <f t="shared" si="3"/>
        <v>9088200</v>
      </c>
    </row>
    <row r="117" spans="1:7" s="10" customFormat="1" ht="16.5">
      <c r="A117" s="23"/>
      <c r="B117" s="47" t="s">
        <v>45</v>
      </c>
      <c r="C117" s="30" t="s">
        <v>205</v>
      </c>
      <c r="D117" s="71">
        <v>10.5</v>
      </c>
      <c r="E117" s="7">
        <v>200000</v>
      </c>
      <c r="F117" s="16">
        <v>1.08</v>
      </c>
      <c r="G117" s="7">
        <f t="shared" si="3"/>
        <v>2268000</v>
      </c>
    </row>
    <row r="118" spans="1:7" s="10" customFormat="1" ht="16.5">
      <c r="A118" s="23"/>
      <c r="B118" s="47" t="s">
        <v>47</v>
      </c>
      <c r="C118" s="30" t="s">
        <v>10</v>
      </c>
      <c r="D118" s="71">
        <f>1.8*2.1</f>
        <v>3.7800000000000002</v>
      </c>
      <c r="E118" s="7">
        <v>300000</v>
      </c>
      <c r="F118" s="16">
        <v>1.08</v>
      </c>
      <c r="G118" s="7">
        <f t="shared" si="3"/>
        <v>1224720</v>
      </c>
    </row>
    <row r="119" spans="1:7" s="10" customFormat="1" ht="16.5">
      <c r="A119" s="23"/>
      <c r="B119" s="47" t="s">
        <v>46</v>
      </c>
      <c r="C119" s="30" t="s">
        <v>203</v>
      </c>
      <c r="D119" s="71">
        <f>2.1*0.7*0.1</f>
        <v>0.147</v>
      </c>
      <c r="E119" s="7">
        <v>1944000</v>
      </c>
      <c r="F119" s="16">
        <v>1.08</v>
      </c>
      <c r="G119" s="7">
        <f t="shared" si="3"/>
        <v>308629.44</v>
      </c>
    </row>
    <row r="120" spans="1:7" s="10" customFormat="1" ht="16.5">
      <c r="A120" s="23"/>
      <c r="B120" s="47" t="s">
        <v>48</v>
      </c>
      <c r="C120" s="30" t="s">
        <v>203</v>
      </c>
      <c r="D120" s="71">
        <f>0.9*0.7*0.15*3</f>
        <v>0.2835</v>
      </c>
      <c r="E120" s="7">
        <v>1420000</v>
      </c>
      <c r="F120" s="16">
        <v>1.08</v>
      </c>
      <c r="G120" s="7">
        <f t="shared" si="3"/>
        <v>434775.6</v>
      </c>
    </row>
    <row r="121" spans="1:7" s="10" customFormat="1" ht="16.5">
      <c r="A121" s="23"/>
      <c r="B121" s="47" t="s">
        <v>49</v>
      </c>
      <c r="C121" s="30" t="s">
        <v>10</v>
      </c>
      <c r="D121" s="71">
        <f>7.4*5</f>
        <v>37</v>
      </c>
      <c r="E121" s="7">
        <v>209000</v>
      </c>
      <c r="F121" s="16">
        <v>1.08</v>
      </c>
      <c r="G121" s="7">
        <f t="shared" si="3"/>
        <v>8351640.000000001</v>
      </c>
    </row>
    <row r="122" spans="1:7" s="10" customFormat="1" ht="33">
      <c r="A122" s="23"/>
      <c r="B122" s="47" t="s">
        <v>50</v>
      </c>
      <c r="C122" s="30" t="s">
        <v>10</v>
      </c>
      <c r="D122" s="71">
        <f>(12.4+7.8+4.5+40.5)*0.8</f>
        <v>52.160000000000004</v>
      </c>
      <c r="E122" s="7">
        <v>700000</v>
      </c>
      <c r="F122" s="16">
        <v>1.08</v>
      </c>
      <c r="G122" s="7">
        <f t="shared" si="3"/>
        <v>39432960</v>
      </c>
    </row>
    <row r="123" spans="1:7" s="10" customFormat="1" ht="33">
      <c r="A123" s="23"/>
      <c r="B123" s="47" t="s">
        <v>51</v>
      </c>
      <c r="C123" s="30" t="s">
        <v>10</v>
      </c>
      <c r="D123" s="71">
        <f>(12.4+7.8+4.5+3+40.5)*1.5</f>
        <v>102.30000000000001</v>
      </c>
      <c r="E123" s="7">
        <v>10000</v>
      </c>
      <c r="F123" s="16">
        <v>1</v>
      </c>
      <c r="G123" s="7">
        <f t="shared" si="3"/>
        <v>1023000.0000000001</v>
      </c>
    </row>
    <row r="124" spans="1:7" s="10" customFormat="1" ht="16.5">
      <c r="A124" s="23"/>
      <c r="B124" s="47" t="s">
        <v>52</v>
      </c>
      <c r="C124" s="30" t="s">
        <v>203</v>
      </c>
      <c r="D124" s="71">
        <f>0.15*0.15*1.5*27</f>
        <v>0.9112500000000001</v>
      </c>
      <c r="E124" s="7">
        <v>2500000</v>
      </c>
      <c r="F124" s="16">
        <v>1.08</v>
      </c>
      <c r="G124" s="7">
        <f t="shared" si="3"/>
        <v>2460375.0000000005</v>
      </c>
    </row>
    <row r="125" spans="1:7" s="10" customFormat="1" ht="16.5">
      <c r="A125" s="23"/>
      <c r="B125" s="47" t="s">
        <v>26</v>
      </c>
      <c r="C125" s="30" t="s">
        <v>17</v>
      </c>
      <c r="D125" s="71">
        <v>155</v>
      </c>
      <c r="E125" s="7">
        <v>4000</v>
      </c>
      <c r="F125" s="16">
        <v>1</v>
      </c>
      <c r="G125" s="7">
        <f t="shared" si="3"/>
        <v>620000</v>
      </c>
    </row>
    <row r="126" spans="1:7" s="10" customFormat="1" ht="16.5">
      <c r="A126" s="23"/>
      <c r="B126" s="47" t="s">
        <v>27</v>
      </c>
      <c r="C126" s="30" t="s">
        <v>10</v>
      </c>
      <c r="D126" s="71">
        <v>20</v>
      </c>
      <c r="E126" s="7">
        <v>3960</v>
      </c>
      <c r="F126" s="16">
        <v>1</v>
      </c>
      <c r="G126" s="7">
        <f t="shared" si="3"/>
        <v>79200</v>
      </c>
    </row>
    <row r="127" spans="1:7" s="10" customFormat="1" ht="16.5">
      <c r="A127" s="23"/>
      <c r="B127" s="47" t="s">
        <v>20</v>
      </c>
      <c r="C127" s="30" t="s">
        <v>17</v>
      </c>
      <c r="D127" s="71">
        <v>38</v>
      </c>
      <c r="E127" s="7">
        <v>34060</v>
      </c>
      <c r="F127" s="16">
        <v>1</v>
      </c>
      <c r="G127" s="7">
        <f t="shared" si="3"/>
        <v>1294280</v>
      </c>
    </row>
    <row r="128" spans="1:7" s="10" customFormat="1" ht="16.5">
      <c r="A128" s="23"/>
      <c r="B128" s="47" t="s">
        <v>18</v>
      </c>
      <c r="C128" s="30" t="s">
        <v>17</v>
      </c>
      <c r="D128" s="71">
        <v>129</v>
      </c>
      <c r="E128" s="7">
        <v>25100</v>
      </c>
      <c r="F128" s="16">
        <v>1</v>
      </c>
      <c r="G128" s="7">
        <f t="shared" si="3"/>
        <v>3237900</v>
      </c>
    </row>
    <row r="129" spans="1:7" s="10" customFormat="1" ht="16.5">
      <c r="A129" s="23"/>
      <c r="B129" s="47" t="s">
        <v>53</v>
      </c>
      <c r="C129" s="30" t="s">
        <v>17</v>
      </c>
      <c r="D129" s="71">
        <v>10</v>
      </c>
      <c r="E129" s="7">
        <v>289000</v>
      </c>
      <c r="F129" s="16">
        <v>1</v>
      </c>
      <c r="G129" s="7">
        <f t="shared" si="3"/>
        <v>2890000</v>
      </c>
    </row>
    <row r="130" spans="1:7" s="10" customFormat="1" ht="16.5">
      <c r="A130" s="23"/>
      <c r="B130" s="47" t="s">
        <v>54</v>
      </c>
      <c r="C130" s="30" t="s">
        <v>17</v>
      </c>
      <c r="D130" s="71">
        <v>10</v>
      </c>
      <c r="E130" s="7">
        <v>50000</v>
      </c>
      <c r="F130" s="16">
        <v>1</v>
      </c>
      <c r="G130" s="7">
        <f t="shared" si="3"/>
        <v>500000</v>
      </c>
    </row>
    <row r="131" spans="1:7" s="10" customFormat="1" ht="16.5">
      <c r="A131" s="23"/>
      <c r="B131" s="47" t="s">
        <v>55</v>
      </c>
      <c r="C131" s="30" t="s">
        <v>17</v>
      </c>
      <c r="D131" s="71">
        <v>6</v>
      </c>
      <c r="E131" s="7">
        <v>168000</v>
      </c>
      <c r="F131" s="16">
        <v>1</v>
      </c>
      <c r="G131" s="7">
        <f t="shared" si="3"/>
        <v>1008000</v>
      </c>
    </row>
    <row r="132" spans="1:7" s="10" customFormat="1" ht="16.5">
      <c r="A132" s="23"/>
      <c r="B132" s="47" t="s">
        <v>56</v>
      </c>
      <c r="C132" s="30" t="s">
        <v>17</v>
      </c>
      <c r="D132" s="71">
        <v>50</v>
      </c>
      <c r="E132" s="7">
        <v>41000</v>
      </c>
      <c r="F132" s="16">
        <v>1</v>
      </c>
      <c r="G132" s="7">
        <f t="shared" si="3"/>
        <v>2050000</v>
      </c>
    </row>
    <row r="133" spans="1:7" s="10" customFormat="1" ht="16.5">
      <c r="A133" s="23"/>
      <c r="B133" s="47" t="s">
        <v>57</v>
      </c>
      <c r="C133" s="30" t="s">
        <v>17</v>
      </c>
      <c r="D133" s="71">
        <v>10</v>
      </c>
      <c r="E133" s="7">
        <v>282000</v>
      </c>
      <c r="F133" s="16">
        <v>1</v>
      </c>
      <c r="G133" s="7">
        <f t="shared" si="3"/>
        <v>2820000</v>
      </c>
    </row>
    <row r="134" spans="1:7" s="10" customFormat="1" ht="16.5">
      <c r="A134" s="23"/>
      <c r="B134" s="47" t="s">
        <v>58</v>
      </c>
      <c r="C134" s="30" t="s">
        <v>10</v>
      </c>
      <c r="D134" s="71">
        <v>15</v>
      </c>
      <c r="E134" s="7">
        <v>6600</v>
      </c>
      <c r="F134" s="16">
        <v>1</v>
      </c>
      <c r="G134" s="7">
        <f t="shared" si="3"/>
        <v>99000</v>
      </c>
    </row>
    <row r="135" spans="1:7" s="10" customFormat="1" ht="16.5">
      <c r="A135" s="23"/>
      <c r="B135" s="47" t="s">
        <v>59</v>
      </c>
      <c r="C135" s="30" t="s">
        <v>10</v>
      </c>
      <c r="D135" s="71">
        <f>3*3</f>
        <v>9</v>
      </c>
      <c r="E135" s="7">
        <v>7260</v>
      </c>
      <c r="F135" s="16">
        <v>1</v>
      </c>
      <c r="G135" s="7">
        <f t="shared" si="3"/>
        <v>65340</v>
      </c>
    </row>
    <row r="136" spans="1:7" s="10" customFormat="1" ht="16.5">
      <c r="A136" s="23"/>
      <c r="B136" s="47" t="s">
        <v>60</v>
      </c>
      <c r="C136" s="30" t="s">
        <v>17</v>
      </c>
      <c r="D136" s="71">
        <v>1</v>
      </c>
      <c r="E136" s="7">
        <v>271000</v>
      </c>
      <c r="F136" s="16">
        <v>1</v>
      </c>
      <c r="G136" s="7">
        <f t="shared" si="3"/>
        <v>271000</v>
      </c>
    </row>
    <row r="137" spans="1:7" s="10" customFormat="1" ht="16.5">
      <c r="A137" s="23"/>
      <c r="B137" s="47" t="s">
        <v>61</v>
      </c>
      <c r="C137" s="30" t="s">
        <v>17</v>
      </c>
      <c r="D137" s="71">
        <v>1</v>
      </c>
      <c r="E137" s="7">
        <v>71000</v>
      </c>
      <c r="F137" s="16">
        <v>1</v>
      </c>
      <c r="G137" s="7">
        <f t="shared" si="3"/>
        <v>71000</v>
      </c>
    </row>
    <row r="138" spans="1:7" s="10" customFormat="1" ht="16.5">
      <c r="A138" s="23"/>
      <c r="B138" s="47" t="s">
        <v>62</v>
      </c>
      <c r="C138" s="30" t="s">
        <v>17</v>
      </c>
      <c r="D138" s="71">
        <v>25</v>
      </c>
      <c r="E138" s="7">
        <v>24160</v>
      </c>
      <c r="F138" s="16">
        <v>1</v>
      </c>
      <c r="G138" s="7">
        <f t="shared" si="3"/>
        <v>604000</v>
      </c>
    </row>
    <row r="139" spans="1:7" s="10" customFormat="1" ht="16.5">
      <c r="A139" s="23"/>
      <c r="B139" s="47" t="s">
        <v>63</v>
      </c>
      <c r="C139" s="30" t="s">
        <v>17</v>
      </c>
      <c r="D139" s="71">
        <v>15</v>
      </c>
      <c r="E139" s="7">
        <v>645000</v>
      </c>
      <c r="F139" s="16">
        <v>1</v>
      </c>
      <c r="G139" s="7">
        <f t="shared" si="3"/>
        <v>9675000</v>
      </c>
    </row>
    <row r="140" spans="1:7" s="10" customFormat="1" ht="16.5">
      <c r="A140" s="23"/>
      <c r="B140" s="47" t="s">
        <v>64</v>
      </c>
      <c r="C140" s="30" t="s">
        <v>17</v>
      </c>
      <c r="D140" s="71">
        <v>6</v>
      </c>
      <c r="E140" s="7">
        <v>79000</v>
      </c>
      <c r="F140" s="16">
        <v>1</v>
      </c>
      <c r="G140" s="7">
        <f t="shared" si="3"/>
        <v>474000</v>
      </c>
    </row>
    <row r="141" spans="1:7" s="10" customFormat="1" ht="16.5">
      <c r="A141" s="23"/>
      <c r="B141" s="47" t="s">
        <v>65</v>
      </c>
      <c r="C141" s="30" t="s">
        <v>22</v>
      </c>
      <c r="D141" s="71">
        <v>5</v>
      </c>
      <c r="E141" s="7">
        <v>12000</v>
      </c>
      <c r="F141" s="16">
        <v>1</v>
      </c>
      <c r="G141" s="7">
        <f t="shared" si="3"/>
        <v>60000</v>
      </c>
    </row>
    <row r="142" spans="1:7" s="10" customFormat="1" ht="16.5">
      <c r="A142" s="23"/>
      <c r="B142" s="47" t="s">
        <v>19</v>
      </c>
      <c r="C142" s="30" t="s">
        <v>17</v>
      </c>
      <c r="D142" s="71">
        <v>5</v>
      </c>
      <c r="E142" s="7">
        <v>36000</v>
      </c>
      <c r="F142" s="16">
        <v>1</v>
      </c>
      <c r="G142" s="7">
        <f t="shared" si="3"/>
        <v>180000</v>
      </c>
    </row>
    <row r="143" spans="1:7" s="10" customFormat="1" ht="16.5">
      <c r="A143" s="23"/>
      <c r="B143" s="47" t="s">
        <v>23</v>
      </c>
      <c r="C143" s="30" t="s">
        <v>17</v>
      </c>
      <c r="D143" s="71">
        <v>12</v>
      </c>
      <c r="E143" s="7">
        <v>26400</v>
      </c>
      <c r="F143" s="16">
        <v>1</v>
      </c>
      <c r="G143" s="7">
        <f t="shared" si="3"/>
        <v>316800</v>
      </c>
    </row>
    <row r="144" spans="1:7" s="10" customFormat="1" ht="16.5">
      <c r="A144" s="23"/>
      <c r="B144" s="47" t="s">
        <v>66</v>
      </c>
      <c r="C144" s="30" t="s">
        <v>17</v>
      </c>
      <c r="D144" s="71">
        <v>2</v>
      </c>
      <c r="E144" s="7">
        <v>24160</v>
      </c>
      <c r="F144" s="16">
        <v>1</v>
      </c>
      <c r="G144" s="7">
        <f t="shared" si="3"/>
        <v>48320</v>
      </c>
    </row>
    <row r="145" spans="1:7" s="10" customFormat="1" ht="16.5">
      <c r="A145" s="23"/>
      <c r="B145" s="47" t="s">
        <v>67</v>
      </c>
      <c r="C145" s="30" t="s">
        <v>17</v>
      </c>
      <c r="D145" s="71">
        <v>120</v>
      </c>
      <c r="E145" s="7">
        <v>500</v>
      </c>
      <c r="F145" s="16">
        <v>1</v>
      </c>
      <c r="G145" s="7">
        <f t="shared" si="3"/>
        <v>60000</v>
      </c>
    </row>
    <row r="146" spans="1:7" s="10" customFormat="1" ht="16.5">
      <c r="A146" s="23"/>
      <c r="B146" s="47" t="s">
        <v>68</v>
      </c>
      <c r="C146" s="30" t="s">
        <v>17</v>
      </c>
      <c r="D146" s="71">
        <v>3</v>
      </c>
      <c r="E146" s="7">
        <v>500000</v>
      </c>
      <c r="F146" s="16">
        <v>1</v>
      </c>
      <c r="G146" s="7">
        <f t="shared" si="3"/>
        <v>1500000</v>
      </c>
    </row>
    <row r="147" spans="1:7" s="10" customFormat="1" ht="16.5">
      <c r="A147" s="23"/>
      <c r="B147" s="47" t="s">
        <v>69</v>
      </c>
      <c r="C147" s="30" t="s">
        <v>17</v>
      </c>
      <c r="D147" s="71">
        <v>1</v>
      </c>
      <c r="E147" s="7">
        <v>500000</v>
      </c>
      <c r="F147" s="16">
        <v>1</v>
      </c>
      <c r="G147" s="7">
        <f t="shared" si="3"/>
        <v>500000</v>
      </c>
    </row>
    <row r="148" spans="1:7" s="10" customFormat="1" ht="16.5">
      <c r="A148" s="23"/>
      <c r="B148" s="47" t="s">
        <v>70</v>
      </c>
      <c r="C148" s="30" t="s">
        <v>17</v>
      </c>
      <c r="D148" s="71">
        <v>1</v>
      </c>
      <c r="E148" s="7">
        <v>500000</v>
      </c>
      <c r="F148" s="16">
        <v>1</v>
      </c>
      <c r="G148" s="7">
        <f t="shared" si="3"/>
        <v>500000</v>
      </c>
    </row>
    <row r="149" spans="1:7" s="10" customFormat="1" ht="16.5">
      <c r="A149" s="23"/>
      <c r="B149" s="47" t="s">
        <v>14</v>
      </c>
      <c r="C149" s="30" t="s">
        <v>15</v>
      </c>
      <c r="D149" s="71">
        <v>65</v>
      </c>
      <c r="E149" s="7">
        <v>25000</v>
      </c>
      <c r="F149" s="16">
        <v>1</v>
      </c>
      <c r="G149" s="7">
        <f t="shared" si="3"/>
        <v>1625000</v>
      </c>
    </row>
    <row r="150" spans="1:7" s="10" customFormat="1" ht="16.5">
      <c r="A150" s="23"/>
      <c r="B150" s="47" t="s">
        <v>16</v>
      </c>
      <c r="C150" s="30" t="s">
        <v>15</v>
      </c>
      <c r="D150" s="71">
        <v>40</v>
      </c>
      <c r="E150" s="7">
        <v>25000</v>
      </c>
      <c r="F150" s="16">
        <v>1</v>
      </c>
      <c r="G150" s="7">
        <f t="shared" si="3"/>
        <v>1000000</v>
      </c>
    </row>
    <row r="151" spans="1:7" s="10" customFormat="1" ht="16.5">
      <c r="A151" s="37"/>
      <c r="B151" s="48" t="s">
        <v>28</v>
      </c>
      <c r="C151" s="38" t="s">
        <v>71</v>
      </c>
      <c r="D151" s="73">
        <v>1</v>
      </c>
      <c r="E151" s="8">
        <v>250000</v>
      </c>
      <c r="F151" s="17">
        <v>1</v>
      </c>
      <c r="G151" s="8">
        <f t="shared" si="3"/>
        <v>250000</v>
      </c>
    </row>
    <row r="152" spans="1:7" s="21" customFormat="1" ht="16.5">
      <c r="A152" s="24">
        <v>6</v>
      </c>
      <c r="B152" s="49" t="s">
        <v>252</v>
      </c>
      <c r="C152" s="39"/>
      <c r="D152" s="68"/>
      <c r="E152" s="36"/>
      <c r="F152" s="35"/>
      <c r="G152" s="36">
        <f>ROUND(SUM(G153:G162),-3)</f>
        <v>12904000</v>
      </c>
    </row>
    <row r="153" spans="1:7" s="10" customFormat="1" ht="19.5">
      <c r="A153" s="25"/>
      <c r="B153" s="46" t="s">
        <v>253</v>
      </c>
      <c r="C153" s="53" t="s">
        <v>207</v>
      </c>
      <c r="D153" s="70">
        <v>59.3</v>
      </c>
      <c r="E153" s="12">
        <v>30000</v>
      </c>
      <c r="F153" s="15">
        <v>1</v>
      </c>
      <c r="G153" s="7">
        <f>F153*E153*D153</f>
        <v>1779000</v>
      </c>
    </row>
    <row r="154" spans="1:7" s="10" customFormat="1" ht="33">
      <c r="A154" s="25"/>
      <c r="B154" s="46" t="s">
        <v>246</v>
      </c>
      <c r="C154" s="53" t="s">
        <v>207</v>
      </c>
      <c r="D154" s="70">
        <f>D153</f>
        <v>59.3</v>
      </c>
      <c r="E154" s="12">
        <f>228000/2</f>
        <v>114000</v>
      </c>
      <c r="F154" s="15">
        <v>1</v>
      </c>
      <c r="G154" s="7">
        <f>F154*E154*D154</f>
        <v>6760200</v>
      </c>
    </row>
    <row r="155" spans="1:7" s="10" customFormat="1" ht="16.5">
      <c r="A155" s="23"/>
      <c r="B155" s="47" t="s">
        <v>108</v>
      </c>
      <c r="C155" s="30" t="s">
        <v>17</v>
      </c>
      <c r="D155" s="71">
        <v>42</v>
      </c>
      <c r="E155" s="7">
        <v>69000</v>
      </c>
      <c r="F155" s="16">
        <v>1</v>
      </c>
      <c r="G155" s="7">
        <f aca="true" t="shared" si="4" ref="G155:G162">F155*E155*D155</f>
        <v>2898000</v>
      </c>
    </row>
    <row r="156" spans="1:7" s="10" customFormat="1" ht="16.5">
      <c r="A156" s="23"/>
      <c r="B156" s="47" t="s">
        <v>229</v>
      </c>
      <c r="C156" s="30" t="s">
        <v>17</v>
      </c>
      <c r="D156" s="71">
        <v>95</v>
      </c>
      <c r="E156" s="7">
        <v>4000</v>
      </c>
      <c r="F156" s="16">
        <v>1</v>
      </c>
      <c r="G156" s="7">
        <f t="shared" si="4"/>
        <v>380000</v>
      </c>
    </row>
    <row r="157" spans="1:7" s="10" customFormat="1" ht="16.5">
      <c r="A157" s="23"/>
      <c r="B157" s="47" t="s">
        <v>18</v>
      </c>
      <c r="C157" s="30" t="s">
        <v>17</v>
      </c>
      <c r="D157" s="71">
        <v>8</v>
      </c>
      <c r="E157" s="7">
        <v>25100</v>
      </c>
      <c r="F157" s="16">
        <v>1</v>
      </c>
      <c r="G157" s="7">
        <f t="shared" si="4"/>
        <v>200800</v>
      </c>
    </row>
    <row r="158" spans="1:7" s="10" customFormat="1" ht="16.5">
      <c r="A158" s="23"/>
      <c r="B158" s="47" t="s">
        <v>58</v>
      </c>
      <c r="C158" s="30" t="s">
        <v>10</v>
      </c>
      <c r="D158" s="71">
        <v>3.5</v>
      </c>
      <c r="E158" s="7">
        <v>3960</v>
      </c>
      <c r="F158" s="16">
        <v>1</v>
      </c>
      <c r="G158" s="7">
        <f t="shared" si="4"/>
        <v>13860</v>
      </c>
    </row>
    <row r="159" spans="1:7" s="10" customFormat="1" ht="16.5">
      <c r="A159" s="23"/>
      <c r="B159" s="47" t="s">
        <v>86</v>
      </c>
      <c r="C159" s="30" t="s">
        <v>10</v>
      </c>
      <c r="D159" s="71">
        <v>1</v>
      </c>
      <c r="E159" s="7">
        <v>282000</v>
      </c>
      <c r="F159" s="16">
        <v>1</v>
      </c>
      <c r="G159" s="7">
        <f t="shared" si="4"/>
        <v>282000</v>
      </c>
    </row>
    <row r="160" spans="1:7" s="10" customFormat="1" ht="16.5">
      <c r="A160" s="23"/>
      <c r="B160" s="47" t="s">
        <v>62</v>
      </c>
      <c r="C160" s="30" t="s">
        <v>17</v>
      </c>
      <c r="D160" s="71">
        <v>3</v>
      </c>
      <c r="E160" s="7">
        <v>24160</v>
      </c>
      <c r="F160" s="16">
        <v>1</v>
      </c>
      <c r="G160" s="7">
        <f t="shared" si="4"/>
        <v>72480</v>
      </c>
    </row>
    <row r="161" spans="1:7" s="10" customFormat="1" ht="16.5">
      <c r="A161" s="23"/>
      <c r="B161" s="47" t="s">
        <v>230</v>
      </c>
      <c r="C161" s="30" t="s">
        <v>17</v>
      </c>
      <c r="D161" s="71">
        <v>1</v>
      </c>
      <c r="E161" s="7">
        <v>500000</v>
      </c>
      <c r="F161" s="16">
        <v>1</v>
      </c>
      <c r="G161" s="7">
        <f t="shared" si="4"/>
        <v>500000</v>
      </c>
    </row>
    <row r="162" spans="1:7" s="10" customFormat="1" ht="16.5">
      <c r="A162" s="37"/>
      <c r="B162" s="48" t="s">
        <v>174</v>
      </c>
      <c r="C162" s="38" t="s">
        <v>10</v>
      </c>
      <c r="D162" s="73">
        <v>4.5</v>
      </c>
      <c r="E162" s="8">
        <v>3960</v>
      </c>
      <c r="F162" s="17">
        <v>1</v>
      </c>
      <c r="G162" s="8">
        <f t="shared" si="4"/>
        <v>17820</v>
      </c>
    </row>
    <row r="163" spans="1:7" s="20" customFormat="1" ht="33">
      <c r="A163" s="42">
        <v>7</v>
      </c>
      <c r="B163" s="45" t="s">
        <v>254</v>
      </c>
      <c r="C163" s="54"/>
      <c r="D163" s="74"/>
      <c r="E163" s="13"/>
      <c r="F163" s="18"/>
      <c r="G163" s="13">
        <f>ROUND(SUM(G165:G208),-3)</f>
        <v>258723000</v>
      </c>
    </row>
    <row r="164" spans="1:7" s="10" customFormat="1" ht="16.5">
      <c r="A164" s="43"/>
      <c r="B164" s="66" t="s">
        <v>255</v>
      </c>
      <c r="C164" s="55"/>
      <c r="D164" s="75"/>
      <c r="E164" s="40"/>
      <c r="F164" s="58"/>
      <c r="G164" s="40"/>
    </row>
    <row r="165" spans="1:7" s="10" customFormat="1" ht="19.5">
      <c r="A165" s="25"/>
      <c r="B165" s="46" t="s">
        <v>256</v>
      </c>
      <c r="C165" s="53" t="s">
        <v>207</v>
      </c>
      <c r="D165" s="75">
        <v>400.8</v>
      </c>
      <c r="E165" s="12">
        <v>30000</v>
      </c>
      <c r="F165" s="15">
        <v>1</v>
      </c>
      <c r="G165" s="7">
        <f>F165*E165*D165</f>
        <v>12024000</v>
      </c>
    </row>
    <row r="166" spans="1:7" s="10" customFormat="1" ht="33">
      <c r="A166" s="25"/>
      <c r="B166" s="46" t="s">
        <v>246</v>
      </c>
      <c r="C166" s="53" t="s">
        <v>207</v>
      </c>
      <c r="D166" s="70">
        <f>D165</f>
        <v>400.8</v>
      </c>
      <c r="E166" s="12">
        <f>228000/2</f>
        <v>114000</v>
      </c>
      <c r="F166" s="15">
        <v>1</v>
      </c>
      <c r="G166" s="7">
        <f>F166*E166*D166</f>
        <v>45691200</v>
      </c>
    </row>
    <row r="167" spans="1:7" s="10" customFormat="1" ht="49.5">
      <c r="A167" s="25"/>
      <c r="B167" s="46" t="s">
        <v>181</v>
      </c>
      <c r="C167" s="53" t="s">
        <v>10</v>
      </c>
      <c r="D167" s="70">
        <f>3.2*3.2</f>
        <v>10.240000000000002</v>
      </c>
      <c r="E167" s="12">
        <v>3450000</v>
      </c>
      <c r="F167" s="15">
        <v>1.08</v>
      </c>
      <c r="G167" s="12">
        <f aca="true" t="shared" si="5" ref="G167:G207">F167*E167*D167</f>
        <v>38154240.000000015</v>
      </c>
    </row>
    <row r="168" spans="1:7" s="10" customFormat="1" ht="33">
      <c r="A168" s="23"/>
      <c r="B168" s="47" t="s">
        <v>182</v>
      </c>
      <c r="C168" s="30" t="s">
        <v>10</v>
      </c>
      <c r="D168" s="71">
        <f>3.5*3</f>
        <v>10.5</v>
      </c>
      <c r="E168" s="7">
        <v>867000</v>
      </c>
      <c r="F168" s="16">
        <v>1.08</v>
      </c>
      <c r="G168" s="7">
        <f t="shared" si="5"/>
        <v>9831780.000000002</v>
      </c>
    </row>
    <row r="169" spans="1:7" s="10" customFormat="1" ht="33">
      <c r="A169" s="23"/>
      <c r="B169" s="47" t="s">
        <v>183</v>
      </c>
      <c r="C169" s="30" t="s">
        <v>10</v>
      </c>
      <c r="D169" s="71">
        <f>(7.3*6.2)+(3*5.2)+(5.5*4.5)</f>
        <v>85.61</v>
      </c>
      <c r="E169" s="7">
        <f>510000</f>
        <v>510000</v>
      </c>
      <c r="F169" s="16">
        <v>1.08</v>
      </c>
      <c r="G169" s="7">
        <f t="shared" si="5"/>
        <v>47153988</v>
      </c>
    </row>
    <row r="170" spans="1:7" s="10" customFormat="1" ht="16.5">
      <c r="A170" s="23"/>
      <c r="B170" s="47" t="s">
        <v>184</v>
      </c>
      <c r="C170" s="30" t="s">
        <v>10</v>
      </c>
      <c r="D170" s="71">
        <f>(6.2*7.3)+(5.5*4.5)</f>
        <v>70.00999999999999</v>
      </c>
      <c r="E170" s="7">
        <v>276000</v>
      </c>
      <c r="F170" s="16">
        <v>1.08</v>
      </c>
      <c r="G170" s="7">
        <f t="shared" si="5"/>
        <v>20868580.799999997</v>
      </c>
    </row>
    <row r="171" spans="1:7" s="10" customFormat="1" ht="16.5">
      <c r="A171" s="23"/>
      <c r="B171" s="47" t="s">
        <v>185</v>
      </c>
      <c r="C171" s="30" t="s">
        <v>203</v>
      </c>
      <c r="D171" s="71">
        <f>1.8*0.6*0.1</f>
        <v>0.10800000000000001</v>
      </c>
      <c r="E171" s="7">
        <v>1944000</v>
      </c>
      <c r="F171" s="16">
        <v>1.08</v>
      </c>
      <c r="G171" s="7">
        <f t="shared" si="5"/>
        <v>226748.16000000003</v>
      </c>
    </row>
    <row r="172" spans="1:7" s="10" customFormat="1" ht="16.5">
      <c r="A172" s="23"/>
      <c r="B172" s="47" t="s">
        <v>186</v>
      </c>
      <c r="C172" s="30" t="s">
        <v>203</v>
      </c>
      <c r="D172" s="71">
        <f>0.9*0.6*0.1*2</f>
        <v>0.10800000000000001</v>
      </c>
      <c r="E172" s="7">
        <v>1624000</v>
      </c>
      <c r="F172" s="16">
        <v>1.08</v>
      </c>
      <c r="G172" s="7">
        <f t="shared" si="5"/>
        <v>189423.36000000002</v>
      </c>
    </row>
    <row r="173" spans="1:7" s="10" customFormat="1" ht="16.5">
      <c r="A173" s="23"/>
      <c r="B173" s="47" t="s">
        <v>187</v>
      </c>
      <c r="C173" s="30" t="s">
        <v>10</v>
      </c>
      <c r="D173" s="71">
        <f>(2.4*0.8)+(0.7*1.8)</f>
        <v>3.1799999999999997</v>
      </c>
      <c r="E173" s="7">
        <v>300000</v>
      </c>
      <c r="F173" s="16">
        <v>1.08</v>
      </c>
      <c r="G173" s="7">
        <f t="shared" si="5"/>
        <v>1030319.9999999999</v>
      </c>
    </row>
    <row r="174" spans="1:7" s="10" customFormat="1" ht="16.5">
      <c r="A174" s="23"/>
      <c r="B174" s="47" t="s">
        <v>188</v>
      </c>
      <c r="C174" s="30" t="s">
        <v>203</v>
      </c>
      <c r="D174" s="71">
        <f>3.1*3.4*1.1</f>
        <v>11.594</v>
      </c>
      <c r="E174" s="7">
        <v>708000</v>
      </c>
      <c r="F174" s="16">
        <v>1.08</v>
      </c>
      <c r="G174" s="7">
        <f t="shared" si="5"/>
        <v>8865236.16</v>
      </c>
    </row>
    <row r="175" spans="1:7" s="10" customFormat="1" ht="16.5">
      <c r="A175" s="23"/>
      <c r="B175" s="47" t="s">
        <v>189</v>
      </c>
      <c r="C175" s="30" t="s">
        <v>10</v>
      </c>
      <c r="D175" s="71">
        <f>5*4.1</f>
        <v>20.5</v>
      </c>
      <c r="E175" s="7">
        <v>300000</v>
      </c>
      <c r="F175" s="16">
        <v>1.08</v>
      </c>
      <c r="G175" s="7">
        <f t="shared" si="5"/>
        <v>6642000</v>
      </c>
    </row>
    <row r="176" spans="1:7" s="10" customFormat="1" ht="16.5">
      <c r="A176" s="23"/>
      <c r="B176" s="47" t="s">
        <v>190</v>
      </c>
      <c r="C176" s="30" t="s">
        <v>205</v>
      </c>
      <c r="D176" s="71">
        <v>11</v>
      </c>
      <c r="E176" s="7">
        <v>200000</v>
      </c>
      <c r="F176" s="16">
        <v>1.08</v>
      </c>
      <c r="G176" s="7">
        <f t="shared" si="5"/>
        <v>2376000</v>
      </c>
    </row>
    <row r="177" spans="1:7" s="10" customFormat="1" ht="16.5">
      <c r="A177" s="23"/>
      <c r="B177" s="47" t="s">
        <v>191</v>
      </c>
      <c r="C177" s="30" t="s">
        <v>203</v>
      </c>
      <c r="D177" s="71">
        <f>0.15*0.15*2*20</f>
        <v>0.8999999999999999</v>
      </c>
      <c r="E177" s="7">
        <v>2500000</v>
      </c>
      <c r="F177" s="16">
        <v>1.08</v>
      </c>
      <c r="G177" s="7">
        <f t="shared" si="5"/>
        <v>2429999.9999999995</v>
      </c>
    </row>
    <row r="178" spans="1:7" s="10" customFormat="1" ht="16.5">
      <c r="A178" s="23"/>
      <c r="B178" s="47" t="s">
        <v>24</v>
      </c>
      <c r="C178" s="30" t="s">
        <v>17</v>
      </c>
      <c r="D178" s="71">
        <v>48</v>
      </c>
      <c r="E178" s="7">
        <v>48310</v>
      </c>
      <c r="F178" s="16">
        <v>1</v>
      </c>
      <c r="G178" s="7">
        <f t="shared" si="5"/>
        <v>2318880</v>
      </c>
    </row>
    <row r="179" spans="1:7" s="10" customFormat="1" ht="16.5">
      <c r="A179" s="23"/>
      <c r="B179" s="47" t="s">
        <v>192</v>
      </c>
      <c r="C179" s="30" t="s">
        <v>17</v>
      </c>
      <c r="D179" s="71">
        <v>97</v>
      </c>
      <c r="E179" s="7">
        <v>21120</v>
      </c>
      <c r="F179" s="16">
        <v>1</v>
      </c>
      <c r="G179" s="7">
        <f t="shared" si="5"/>
        <v>2048640</v>
      </c>
    </row>
    <row r="180" spans="1:7" s="10" customFormat="1" ht="16.5">
      <c r="A180" s="23"/>
      <c r="B180" s="47" t="s">
        <v>193</v>
      </c>
      <c r="C180" s="30" t="s">
        <v>17</v>
      </c>
      <c r="D180" s="71">
        <v>2</v>
      </c>
      <c r="E180" s="7">
        <v>569000</v>
      </c>
      <c r="F180" s="16">
        <v>1</v>
      </c>
      <c r="G180" s="7">
        <f t="shared" si="5"/>
        <v>1138000</v>
      </c>
    </row>
    <row r="181" spans="1:7" s="10" customFormat="1" ht="16.5">
      <c r="A181" s="23"/>
      <c r="B181" s="47" t="s">
        <v>194</v>
      </c>
      <c r="C181" s="30" t="s">
        <v>17</v>
      </c>
      <c r="D181" s="71">
        <v>7</v>
      </c>
      <c r="E181" s="7">
        <v>14520</v>
      </c>
      <c r="F181" s="16">
        <v>1</v>
      </c>
      <c r="G181" s="7">
        <f t="shared" si="5"/>
        <v>101640</v>
      </c>
    </row>
    <row r="182" spans="1:7" s="10" customFormat="1" ht="16.5">
      <c r="A182" s="23"/>
      <c r="B182" s="47" t="s">
        <v>144</v>
      </c>
      <c r="C182" s="30" t="s">
        <v>17</v>
      </c>
      <c r="D182" s="71">
        <v>6</v>
      </c>
      <c r="E182" s="7">
        <v>132000</v>
      </c>
      <c r="F182" s="16">
        <v>1</v>
      </c>
      <c r="G182" s="7">
        <f t="shared" si="5"/>
        <v>792000</v>
      </c>
    </row>
    <row r="183" spans="1:7" s="10" customFormat="1" ht="16.5">
      <c r="A183" s="23"/>
      <c r="B183" s="47" t="s">
        <v>195</v>
      </c>
      <c r="C183" s="30" t="s">
        <v>17</v>
      </c>
      <c r="D183" s="71">
        <v>3</v>
      </c>
      <c r="E183" s="7">
        <v>270000</v>
      </c>
      <c r="F183" s="16">
        <v>1</v>
      </c>
      <c r="G183" s="7">
        <f t="shared" si="5"/>
        <v>810000</v>
      </c>
    </row>
    <row r="184" spans="1:7" s="10" customFormat="1" ht="16.5">
      <c r="A184" s="23"/>
      <c r="B184" s="47" t="s">
        <v>196</v>
      </c>
      <c r="C184" s="30" t="s">
        <v>17</v>
      </c>
      <c r="D184" s="71">
        <v>1</v>
      </c>
      <c r="E184" s="7">
        <v>352000</v>
      </c>
      <c r="F184" s="16">
        <v>1</v>
      </c>
      <c r="G184" s="7">
        <f t="shared" si="5"/>
        <v>352000</v>
      </c>
    </row>
    <row r="185" spans="1:7" s="10" customFormat="1" ht="16.5">
      <c r="A185" s="23"/>
      <c r="B185" s="47" t="s">
        <v>197</v>
      </c>
      <c r="C185" s="30" t="s">
        <v>17</v>
      </c>
      <c r="D185" s="71">
        <v>5</v>
      </c>
      <c r="E185" s="7">
        <v>49000</v>
      </c>
      <c r="F185" s="16">
        <v>1</v>
      </c>
      <c r="G185" s="7">
        <f t="shared" si="5"/>
        <v>245000</v>
      </c>
    </row>
    <row r="186" spans="1:7" s="10" customFormat="1" ht="16.5">
      <c r="A186" s="23"/>
      <c r="B186" s="47" t="s">
        <v>75</v>
      </c>
      <c r="C186" s="30" t="s">
        <v>17</v>
      </c>
      <c r="D186" s="71">
        <v>295</v>
      </c>
      <c r="E186" s="7">
        <v>7700</v>
      </c>
      <c r="F186" s="16">
        <v>1</v>
      </c>
      <c r="G186" s="7">
        <f t="shared" si="5"/>
        <v>2271500</v>
      </c>
    </row>
    <row r="187" spans="1:7" s="10" customFormat="1" ht="16.5">
      <c r="A187" s="23"/>
      <c r="B187" s="47" t="s">
        <v>198</v>
      </c>
      <c r="C187" s="30" t="s">
        <v>17</v>
      </c>
      <c r="D187" s="71">
        <v>19</v>
      </c>
      <c r="E187" s="7">
        <v>41000</v>
      </c>
      <c r="F187" s="16">
        <v>1</v>
      </c>
      <c r="G187" s="7">
        <f t="shared" si="5"/>
        <v>779000</v>
      </c>
    </row>
    <row r="188" spans="1:7" s="10" customFormat="1" ht="16.5">
      <c r="A188" s="23"/>
      <c r="B188" s="47" t="s">
        <v>174</v>
      </c>
      <c r="C188" s="30" t="s">
        <v>10</v>
      </c>
      <c r="D188" s="71">
        <v>10</v>
      </c>
      <c r="E188" s="7">
        <v>3300</v>
      </c>
      <c r="F188" s="16">
        <v>1</v>
      </c>
      <c r="G188" s="7">
        <f t="shared" si="5"/>
        <v>33000</v>
      </c>
    </row>
    <row r="189" spans="1:7" s="10" customFormat="1" ht="16.5">
      <c r="A189" s="23"/>
      <c r="B189" s="47" t="s">
        <v>142</v>
      </c>
      <c r="C189" s="30" t="s">
        <v>17</v>
      </c>
      <c r="D189" s="71">
        <v>9</v>
      </c>
      <c r="E189" s="7">
        <v>12000</v>
      </c>
      <c r="F189" s="16">
        <v>1</v>
      </c>
      <c r="G189" s="7">
        <f t="shared" si="5"/>
        <v>108000</v>
      </c>
    </row>
    <row r="190" spans="1:7" s="10" customFormat="1" ht="16.5">
      <c r="A190" s="23"/>
      <c r="B190" s="47" t="s">
        <v>72</v>
      </c>
      <c r="C190" s="30" t="s">
        <v>73</v>
      </c>
      <c r="D190" s="71">
        <v>2</v>
      </c>
      <c r="E190" s="7">
        <v>3300</v>
      </c>
      <c r="F190" s="16">
        <v>1</v>
      </c>
      <c r="G190" s="7">
        <f t="shared" si="5"/>
        <v>6600</v>
      </c>
    </row>
    <row r="191" spans="1:7" s="10" customFormat="1" ht="16.5">
      <c r="A191" s="23"/>
      <c r="B191" s="47" t="s">
        <v>18</v>
      </c>
      <c r="C191" s="30" t="s">
        <v>17</v>
      </c>
      <c r="D191" s="71">
        <v>220</v>
      </c>
      <c r="E191" s="7">
        <v>25100</v>
      </c>
      <c r="F191" s="16">
        <v>1</v>
      </c>
      <c r="G191" s="7">
        <f t="shared" si="5"/>
        <v>5522000</v>
      </c>
    </row>
    <row r="192" spans="1:7" s="10" customFormat="1" ht="16.5">
      <c r="A192" s="23"/>
      <c r="B192" s="47" t="s">
        <v>77</v>
      </c>
      <c r="C192" s="30" t="s">
        <v>17</v>
      </c>
      <c r="D192" s="71">
        <v>9</v>
      </c>
      <c r="E192" s="7">
        <v>13000</v>
      </c>
      <c r="F192" s="16">
        <v>1</v>
      </c>
      <c r="G192" s="7">
        <f t="shared" si="5"/>
        <v>117000</v>
      </c>
    </row>
    <row r="193" spans="1:7" s="10" customFormat="1" ht="16.5">
      <c r="A193" s="23"/>
      <c r="B193" s="47" t="s">
        <v>145</v>
      </c>
      <c r="C193" s="30" t="s">
        <v>17</v>
      </c>
      <c r="D193" s="71">
        <v>7</v>
      </c>
      <c r="E193" s="7">
        <v>14520</v>
      </c>
      <c r="F193" s="16">
        <v>1</v>
      </c>
      <c r="G193" s="7">
        <f t="shared" si="5"/>
        <v>101640</v>
      </c>
    </row>
    <row r="194" spans="1:7" s="10" customFormat="1" ht="16.5">
      <c r="A194" s="23"/>
      <c r="B194" s="47" t="s">
        <v>27</v>
      </c>
      <c r="C194" s="30" t="s">
        <v>10</v>
      </c>
      <c r="D194" s="71">
        <v>11</v>
      </c>
      <c r="E194" s="7">
        <v>3960</v>
      </c>
      <c r="F194" s="16">
        <v>1</v>
      </c>
      <c r="G194" s="7">
        <f t="shared" si="5"/>
        <v>43560</v>
      </c>
    </row>
    <row r="195" spans="1:7" s="10" customFormat="1" ht="16.5">
      <c r="A195" s="23"/>
      <c r="B195" s="47" t="s">
        <v>140</v>
      </c>
      <c r="C195" s="30" t="s">
        <v>17</v>
      </c>
      <c r="D195" s="71">
        <v>5</v>
      </c>
      <c r="E195" s="7">
        <v>36000</v>
      </c>
      <c r="F195" s="16">
        <v>1</v>
      </c>
      <c r="G195" s="7">
        <f t="shared" si="5"/>
        <v>180000</v>
      </c>
    </row>
    <row r="196" spans="1:7" s="10" customFormat="1" ht="16.5">
      <c r="A196" s="23"/>
      <c r="B196" s="47" t="s">
        <v>121</v>
      </c>
      <c r="C196" s="30" t="s">
        <v>17</v>
      </c>
      <c r="D196" s="71">
        <v>25</v>
      </c>
      <c r="E196" s="7">
        <v>3000</v>
      </c>
      <c r="F196" s="16">
        <v>1</v>
      </c>
      <c r="G196" s="7">
        <f t="shared" si="5"/>
        <v>75000</v>
      </c>
    </row>
    <row r="197" spans="1:7" s="10" customFormat="1" ht="16.5">
      <c r="A197" s="23"/>
      <c r="B197" s="47" t="s">
        <v>199</v>
      </c>
      <c r="C197" s="30" t="s">
        <v>17</v>
      </c>
      <c r="D197" s="71">
        <v>5</v>
      </c>
      <c r="E197" s="7">
        <v>3960</v>
      </c>
      <c r="F197" s="16">
        <v>1</v>
      </c>
      <c r="G197" s="7">
        <f t="shared" si="5"/>
        <v>19800</v>
      </c>
    </row>
    <row r="198" spans="1:7" s="10" customFormat="1" ht="16.5">
      <c r="A198" s="23"/>
      <c r="B198" s="47" t="s">
        <v>139</v>
      </c>
      <c r="C198" s="30" t="s">
        <v>17</v>
      </c>
      <c r="D198" s="71">
        <v>1</v>
      </c>
      <c r="E198" s="7">
        <v>38410</v>
      </c>
      <c r="F198" s="16">
        <v>1</v>
      </c>
      <c r="G198" s="7">
        <f t="shared" si="5"/>
        <v>38410</v>
      </c>
    </row>
    <row r="199" spans="1:7" s="10" customFormat="1" ht="16.5">
      <c r="A199" s="23"/>
      <c r="B199" s="47" t="s">
        <v>200</v>
      </c>
      <c r="C199" s="30" t="s">
        <v>17</v>
      </c>
      <c r="D199" s="71">
        <v>16</v>
      </c>
      <c r="E199" s="7">
        <v>53460</v>
      </c>
      <c r="F199" s="16">
        <v>1</v>
      </c>
      <c r="G199" s="7">
        <f t="shared" si="5"/>
        <v>855360</v>
      </c>
    </row>
    <row r="200" spans="1:7" s="10" customFormat="1" ht="16.5">
      <c r="A200" s="23"/>
      <c r="B200" s="47" t="s">
        <v>201</v>
      </c>
      <c r="C200" s="30" t="s">
        <v>10</v>
      </c>
      <c r="D200" s="71">
        <v>10</v>
      </c>
      <c r="E200" s="7">
        <v>1980</v>
      </c>
      <c r="F200" s="16">
        <v>1</v>
      </c>
      <c r="G200" s="7">
        <f t="shared" si="5"/>
        <v>19800</v>
      </c>
    </row>
    <row r="201" spans="1:7" s="10" customFormat="1" ht="16.5">
      <c r="A201" s="23"/>
      <c r="B201" s="47" t="s">
        <v>143</v>
      </c>
      <c r="C201" s="30" t="s">
        <v>17</v>
      </c>
      <c r="D201" s="71">
        <v>10</v>
      </c>
      <c r="E201" s="7">
        <v>24160</v>
      </c>
      <c r="F201" s="16">
        <v>1</v>
      </c>
      <c r="G201" s="7">
        <f t="shared" si="5"/>
        <v>241600</v>
      </c>
    </row>
    <row r="202" spans="1:7" s="10" customFormat="1" ht="16.5">
      <c r="A202" s="23"/>
      <c r="B202" s="47" t="s">
        <v>124</v>
      </c>
      <c r="C202" s="30" t="s">
        <v>17</v>
      </c>
      <c r="D202" s="71">
        <v>13</v>
      </c>
      <c r="E202" s="7">
        <v>20990</v>
      </c>
      <c r="F202" s="16">
        <v>1</v>
      </c>
      <c r="G202" s="7">
        <f t="shared" si="5"/>
        <v>272870</v>
      </c>
    </row>
    <row r="203" spans="1:7" s="10" customFormat="1" ht="16.5">
      <c r="A203" s="23"/>
      <c r="B203" s="47" t="s">
        <v>202</v>
      </c>
      <c r="C203" s="30" t="s">
        <v>17</v>
      </c>
      <c r="D203" s="71">
        <v>1</v>
      </c>
      <c r="E203" s="7">
        <v>387000</v>
      </c>
      <c r="F203" s="16">
        <v>1</v>
      </c>
      <c r="G203" s="7">
        <f t="shared" si="5"/>
        <v>387000</v>
      </c>
    </row>
    <row r="204" spans="1:7" s="10" customFormat="1" ht="16.5">
      <c r="A204" s="23"/>
      <c r="B204" s="47" t="s">
        <v>26</v>
      </c>
      <c r="C204" s="30" t="s">
        <v>17</v>
      </c>
      <c r="D204" s="71">
        <v>390</v>
      </c>
      <c r="E204" s="7">
        <v>4000</v>
      </c>
      <c r="F204" s="16">
        <v>1</v>
      </c>
      <c r="G204" s="7">
        <f t="shared" si="5"/>
        <v>1560000</v>
      </c>
    </row>
    <row r="205" spans="1:7" s="10" customFormat="1" ht="16.5">
      <c r="A205" s="25"/>
      <c r="B205" s="67" t="s">
        <v>258</v>
      </c>
      <c r="C205" s="53"/>
      <c r="D205" s="70"/>
      <c r="E205" s="12"/>
      <c r="F205" s="15"/>
      <c r="G205" s="7"/>
    </row>
    <row r="206" spans="1:7" s="10" customFormat="1" ht="16.5">
      <c r="A206" s="25"/>
      <c r="B206" s="46" t="s">
        <v>259</v>
      </c>
      <c r="C206" s="30" t="s">
        <v>10</v>
      </c>
      <c r="D206" s="70">
        <v>442.9</v>
      </c>
      <c r="E206" s="12">
        <v>30000</v>
      </c>
      <c r="F206" s="15">
        <v>1</v>
      </c>
      <c r="G206" s="7">
        <f t="shared" si="5"/>
        <v>13287000</v>
      </c>
    </row>
    <row r="207" spans="1:7" s="10" customFormat="1" ht="33">
      <c r="A207" s="25"/>
      <c r="B207" s="46" t="s">
        <v>257</v>
      </c>
      <c r="C207" s="30" t="s">
        <v>10</v>
      </c>
      <c r="D207" s="70">
        <f>D206</f>
        <v>442.9</v>
      </c>
      <c r="E207" s="12">
        <f>E206*2</f>
        <v>60000</v>
      </c>
      <c r="F207" s="15">
        <v>1</v>
      </c>
      <c r="G207" s="7">
        <f t="shared" si="5"/>
        <v>26574000</v>
      </c>
    </row>
    <row r="208" spans="1:7" s="10" customFormat="1" ht="16.5">
      <c r="A208" s="37"/>
      <c r="B208" s="48" t="s">
        <v>209</v>
      </c>
      <c r="C208" s="38" t="s">
        <v>226</v>
      </c>
      <c r="D208" s="73">
        <f>442.9/10000</f>
        <v>0.044289999999999996</v>
      </c>
      <c r="E208" s="8">
        <v>66396000</v>
      </c>
      <c r="F208" s="17">
        <v>1</v>
      </c>
      <c r="G208" s="8">
        <f>F208*E208*D208</f>
        <v>2940678.84</v>
      </c>
    </row>
    <row r="209" spans="1:7" s="21" customFormat="1" ht="16.5">
      <c r="A209" s="24">
        <v>8</v>
      </c>
      <c r="B209" s="49" t="s">
        <v>273</v>
      </c>
      <c r="C209" s="39"/>
      <c r="D209" s="68"/>
      <c r="E209" s="36"/>
      <c r="F209" s="35"/>
      <c r="G209" s="36">
        <f>ROUND(SUM(G210:G218),-3)</f>
        <v>57865000</v>
      </c>
    </row>
    <row r="210" spans="1:7" s="10" customFormat="1" ht="16.5">
      <c r="A210" s="23"/>
      <c r="B210" s="47" t="s">
        <v>11</v>
      </c>
      <c r="C210" s="30" t="s">
        <v>10</v>
      </c>
      <c r="D210" s="71">
        <v>307.5</v>
      </c>
      <c r="E210" s="7">
        <v>30000</v>
      </c>
      <c r="F210" s="16">
        <v>1</v>
      </c>
      <c r="G210" s="7">
        <f>D210*E210*F210</f>
        <v>9225000</v>
      </c>
    </row>
    <row r="211" spans="1:7" s="10" customFormat="1" ht="16.5">
      <c r="A211" s="23"/>
      <c r="B211" s="47" t="s">
        <v>222</v>
      </c>
      <c r="C211" s="30" t="s">
        <v>10</v>
      </c>
      <c r="D211" s="71">
        <v>307.5</v>
      </c>
      <c r="E211" s="7">
        <v>150000</v>
      </c>
      <c r="F211" s="16">
        <v>1</v>
      </c>
      <c r="G211" s="7">
        <f aca="true" t="shared" si="6" ref="G211:G218">F211*E211*D211</f>
        <v>46125000</v>
      </c>
    </row>
    <row r="212" spans="1:7" s="10" customFormat="1" ht="16.5">
      <c r="A212" s="23"/>
      <c r="B212" s="47" t="s">
        <v>84</v>
      </c>
      <c r="C212" s="30" t="s">
        <v>10</v>
      </c>
      <c r="D212" s="71">
        <v>307.5</v>
      </c>
      <c r="E212" s="7">
        <v>3220</v>
      </c>
      <c r="F212" s="16">
        <v>1</v>
      </c>
      <c r="G212" s="7">
        <f t="shared" si="6"/>
        <v>990150</v>
      </c>
    </row>
    <row r="213" spans="1:7" s="10" customFormat="1" ht="16.5">
      <c r="A213" s="23"/>
      <c r="B213" s="47" t="s">
        <v>18</v>
      </c>
      <c r="C213" s="30" t="s">
        <v>17</v>
      </c>
      <c r="D213" s="71">
        <v>35</v>
      </c>
      <c r="E213" s="7">
        <v>25100</v>
      </c>
      <c r="F213" s="16">
        <v>1</v>
      </c>
      <c r="G213" s="7">
        <f t="shared" si="6"/>
        <v>878500</v>
      </c>
    </row>
    <row r="214" spans="1:7" s="10" customFormat="1" ht="16.5">
      <c r="A214" s="23"/>
      <c r="B214" s="47" t="s">
        <v>26</v>
      </c>
      <c r="C214" s="30" t="s">
        <v>17</v>
      </c>
      <c r="D214" s="71">
        <v>35</v>
      </c>
      <c r="E214" s="7">
        <v>4000</v>
      </c>
      <c r="F214" s="16">
        <v>1</v>
      </c>
      <c r="G214" s="7">
        <f t="shared" si="6"/>
        <v>140000</v>
      </c>
    </row>
    <row r="215" spans="1:7" s="10" customFormat="1" ht="16.5">
      <c r="A215" s="23"/>
      <c r="B215" s="47" t="s">
        <v>208</v>
      </c>
      <c r="C215" s="30" t="s">
        <v>78</v>
      </c>
      <c r="D215" s="71">
        <v>1</v>
      </c>
      <c r="E215" s="7">
        <v>110000</v>
      </c>
      <c r="F215" s="16">
        <v>1</v>
      </c>
      <c r="G215" s="7">
        <f t="shared" si="6"/>
        <v>110000</v>
      </c>
    </row>
    <row r="216" spans="1:7" s="10" customFormat="1" ht="16.5">
      <c r="A216" s="23"/>
      <c r="B216" s="47" t="s">
        <v>24</v>
      </c>
      <c r="C216" s="30" t="s">
        <v>17</v>
      </c>
      <c r="D216" s="71">
        <v>7</v>
      </c>
      <c r="E216" s="7">
        <v>48310</v>
      </c>
      <c r="F216" s="16">
        <v>1</v>
      </c>
      <c r="G216" s="7">
        <f t="shared" si="6"/>
        <v>338170</v>
      </c>
    </row>
    <row r="217" spans="1:7" s="10" customFormat="1" ht="15" customHeight="1">
      <c r="A217" s="23"/>
      <c r="B217" s="47" t="s">
        <v>206</v>
      </c>
      <c r="C217" s="7" t="s">
        <v>207</v>
      </c>
      <c r="D217" s="71">
        <v>4</v>
      </c>
      <c r="E217" s="7">
        <v>3960</v>
      </c>
      <c r="F217" s="16">
        <v>1</v>
      </c>
      <c r="G217" s="7">
        <f t="shared" si="6"/>
        <v>15840</v>
      </c>
    </row>
    <row r="218" spans="1:7" s="10" customFormat="1" ht="16.5">
      <c r="A218" s="37"/>
      <c r="B218" s="48" t="s">
        <v>212</v>
      </c>
      <c r="C218" s="38" t="s">
        <v>17</v>
      </c>
      <c r="D218" s="73">
        <v>2</v>
      </c>
      <c r="E218" s="8">
        <v>21120</v>
      </c>
      <c r="F218" s="17">
        <v>1</v>
      </c>
      <c r="G218" s="8">
        <f t="shared" si="6"/>
        <v>42240</v>
      </c>
    </row>
    <row r="219" spans="1:7" s="20" customFormat="1" ht="17.25" customHeight="1">
      <c r="A219" s="44">
        <v>9</v>
      </c>
      <c r="B219" s="50" t="s">
        <v>274</v>
      </c>
      <c r="C219" s="56"/>
      <c r="D219" s="76"/>
      <c r="E219" s="22"/>
      <c r="F219" s="59"/>
      <c r="G219" s="22">
        <f>ROUND(SUM(G221:G228),-3)</f>
        <v>66858000</v>
      </c>
    </row>
    <row r="220" spans="1:7" s="10" customFormat="1" ht="16.5">
      <c r="A220" s="25"/>
      <c r="B220" s="51" t="s">
        <v>83</v>
      </c>
      <c r="C220" s="53"/>
      <c r="D220" s="70"/>
      <c r="E220" s="12"/>
      <c r="F220" s="15"/>
      <c r="G220" s="12"/>
    </row>
    <row r="221" spans="1:7" s="10" customFormat="1" ht="16.5">
      <c r="A221" s="23"/>
      <c r="B221" s="47" t="s">
        <v>11</v>
      </c>
      <c r="C221" s="30" t="s">
        <v>10</v>
      </c>
      <c r="D221" s="71">
        <v>309.2</v>
      </c>
      <c r="E221" s="7">
        <v>30000</v>
      </c>
      <c r="F221" s="16">
        <v>1</v>
      </c>
      <c r="G221" s="7">
        <f>D221*E221*F221</f>
        <v>9276000</v>
      </c>
    </row>
    <row r="222" spans="1:7" s="10" customFormat="1" ht="16.5">
      <c r="A222" s="23"/>
      <c r="B222" s="47" t="s">
        <v>222</v>
      </c>
      <c r="C222" s="30" t="s">
        <v>10</v>
      </c>
      <c r="D222" s="71">
        <v>309.2</v>
      </c>
      <c r="E222" s="7">
        <v>150000</v>
      </c>
      <c r="F222" s="16">
        <v>1</v>
      </c>
      <c r="G222" s="7">
        <f>F222*E222*D222</f>
        <v>46380000</v>
      </c>
    </row>
    <row r="223" spans="1:7" s="10" customFormat="1" ht="16.5">
      <c r="A223" s="23"/>
      <c r="B223" s="47" t="s">
        <v>84</v>
      </c>
      <c r="C223" s="30" t="s">
        <v>10</v>
      </c>
      <c r="D223" s="71">
        <v>309.2</v>
      </c>
      <c r="E223" s="7">
        <v>3220</v>
      </c>
      <c r="F223" s="16">
        <v>1</v>
      </c>
      <c r="G223" s="7">
        <f>F223*E223*D223</f>
        <v>995624</v>
      </c>
    </row>
    <row r="224" spans="1:7" s="10" customFormat="1" ht="16.5">
      <c r="A224" s="23"/>
      <c r="B224" s="47" t="s">
        <v>24</v>
      </c>
      <c r="C224" s="30" t="s">
        <v>17</v>
      </c>
      <c r="D224" s="71">
        <v>38</v>
      </c>
      <c r="E224" s="7">
        <v>55000</v>
      </c>
      <c r="F224" s="16">
        <v>1</v>
      </c>
      <c r="G224" s="7">
        <f>F224*E224*D224</f>
        <v>2090000</v>
      </c>
    </row>
    <row r="225" spans="1:7" s="10" customFormat="1" ht="16.5">
      <c r="A225" s="23"/>
      <c r="B225" s="52" t="s">
        <v>85</v>
      </c>
      <c r="C225" s="30"/>
      <c r="D225" s="71"/>
      <c r="E225" s="7"/>
      <c r="F225" s="16"/>
      <c r="G225" s="7"/>
    </row>
    <row r="226" spans="1:7" s="10" customFormat="1" ht="16.5">
      <c r="A226" s="23"/>
      <c r="B226" s="47" t="s">
        <v>11</v>
      </c>
      <c r="C226" s="30" t="s">
        <v>10</v>
      </c>
      <c r="D226" s="71">
        <v>44.3</v>
      </c>
      <c r="E226" s="7">
        <v>30000</v>
      </c>
      <c r="F226" s="16">
        <v>1</v>
      </c>
      <c r="G226" s="7">
        <f>F226*E226*D226</f>
        <v>1329000</v>
      </c>
    </row>
    <row r="227" spans="1:7" s="10" customFormat="1" ht="16.5">
      <c r="A227" s="23"/>
      <c r="B227" s="47" t="s">
        <v>222</v>
      </c>
      <c r="C227" s="30" t="s">
        <v>10</v>
      </c>
      <c r="D227" s="71">
        <v>44.3</v>
      </c>
      <c r="E227" s="7">
        <v>150000</v>
      </c>
      <c r="F227" s="16">
        <v>1</v>
      </c>
      <c r="G227" s="7">
        <f>F227*E227*D227</f>
        <v>6645000</v>
      </c>
    </row>
    <row r="228" spans="1:7" s="10" customFormat="1" ht="16.5">
      <c r="A228" s="37"/>
      <c r="B228" s="48" t="s">
        <v>84</v>
      </c>
      <c r="C228" s="38" t="s">
        <v>10</v>
      </c>
      <c r="D228" s="73">
        <v>44.3</v>
      </c>
      <c r="E228" s="8">
        <v>3220</v>
      </c>
      <c r="F228" s="17">
        <v>1</v>
      </c>
      <c r="G228" s="8">
        <f>F228*E228*D228</f>
        <v>142646</v>
      </c>
    </row>
    <row r="229" spans="1:7" s="10" customFormat="1" ht="16.5">
      <c r="A229" s="24">
        <v>10</v>
      </c>
      <c r="B229" s="49" t="s">
        <v>261</v>
      </c>
      <c r="C229" s="39"/>
      <c r="D229" s="68"/>
      <c r="E229" s="36"/>
      <c r="F229" s="35"/>
      <c r="G229" s="36">
        <f>ROUND(SUM(G230:G232),-3)</f>
        <v>8611000</v>
      </c>
    </row>
    <row r="230" spans="1:7" s="10" customFormat="1" ht="16.5">
      <c r="A230" s="25"/>
      <c r="B230" s="46" t="s">
        <v>11</v>
      </c>
      <c r="C230" s="53" t="s">
        <v>10</v>
      </c>
      <c r="D230" s="70">
        <v>47</v>
      </c>
      <c r="E230" s="12">
        <v>30000</v>
      </c>
      <c r="F230" s="15">
        <v>1</v>
      </c>
      <c r="G230" s="12">
        <f>D230*E230*F230</f>
        <v>1410000</v>
      </c>
    </row>
    <row r="231" spans="1:7" s="10" customFormat="1" ht="16.5">
      <c r="A231" s="23"/>
      <c r="B231" s="47" t="s">
        <v>222</v>
      </c>
      <c r="C231" s="30" t="s">
        <v>10</v>
      </c>
      <c r="D231" s="70">
        <v>47</v>
      </c>
      <c r="E231" s="7">
        <v>150000</v>
      </c>
      <c r="F231" s="16">
        <v>1</v>
      </c>
      <c r="G231" s="7">
        <f>F231*E231*D231</f>
        <v>7050000</v>
      </c>
    </row>
    <row r="232" spans="1:7" s="10" customFormat="1" ht="16.5">
      <c r="A232" s="37"/>
      <c r="B232" s="48" t="s">
        <v>84</v>
      </c>
      <c r="C232" s="38" t="s">
        <v>10</v>
      </c>
      <c r="D232" s="70">
        <v>47</v>
      </c>
      <c r="E232" s="8">
        <v>3220</v>
      </c>
      <c r="F232" s="17">
        <v>1</v>
      </c>
      <c r="G232" s="8">
        <f>F232*E232*D232</f>
        <v>151340</v>
      </c>
    </row>
    <row r="233" spans="1:7" s="10" customFormat="1" ht="33">
      <c r="A233" s="24">
        <v>11</v>
      </c>
      <c r="B233" s="49" t="s">
        <v>260</v>
      </c>
      <c r="C233" s="39"/>
      <c r="D233" s="68"/>
      <c r="E233" s="36"/>
      <c r="F233" s="35"/>
      <c r="G233" s="36">
        <f>ROUND(SUM(G234:G236),-3)</f>
        <v>205316000</v>
      </c>
    </row>
    <row r="234" spans="1:7" s="10" customFormat="1" ht="16.5">
      <c r="A234" s="25"/>
      <c r="B234" s="46" t="s">
        <v>11</v>
      </c>
      <c r="C234" s="53" t="s">
        <v>10</v>
      </c>
      <c r="D234" s="70">
        <v>1120.6</v>
      </c>
      <c r="E234" s="12">
        <v>30000</v>
      </c>
      <c r="F234" s="15">
        <v>1</v>
      </c>
      <c r="G234" s="12">
        <f>D234*E234*F234</f>
        <v>33618000</v>
      </c>
    </row>
    <row r="235" spans="1:7" s="10" customFormat="1" ht="16.5">
      <c r="A235" s="23"/>
      <c r="B235" s="47" t="s">
        <v>222</v>
      </c>
      <c r="C235" s="30" t="s">
        <v>10</v>
      </c>
      <c r="D235" s="70">
        <f>D234</f>
        <v>1120.6</v>
      </c>
      <c r="E235" s="7">
        <v>150000</v>
      </c>
      <c r="F235" s="16">
        <v>1</v>
      </c>
      <c r="G235" s="7">
        <f>F235*E235*D235</f>
        <v>168090000</v>
      </c>
    </row>
    <row r="236" spans="1:7" s="10" customFormat="1" ht="16.5">
      <c r="A236" s="37"/>
      <c r="B236" s="48" t="s">
        <v>84</v>
      </c>
      <c r="C236" s="38" t="s">
        <v>10</v>
      </c>
      <c r="D236" s="70">
        <f>D235</f>
        <v>1120.6</v>
      </c>
      <c r="E236" s="8">
        <v>3220</v>
      </c>
      <c r="F236" s="17">
        <v>1</v>
      </c>
      <c r="G236" s="8">
        <f>F236*E236*D236</f>
        <v>3608331.9999999995</v>
      </c>
    </row>
    <row r="237" spans="1:7" s="10" customFormat="1" ht="16.5">
      <c r="A237" s="24">
        <v>12</v>
      </c>
      <c r="B237" s="49" t="s">
        <v>262</v>
      </c>
      <c r="C237" s="39"/>
      <c r="D237" s="68"/>
      <c r="E237" s="36"/>
      <c r="F237" s="35"/>
      <c r="G237" s="36">
        <f>ROUND(SUM(G238:G240),-3)</f>
        <v>14109000</v>
      </c>
    </row>
    <row r="238" spans="1:7" s="10" customFormat="1" ht="16.5">
      <c r="A238" s="25"/>
      <c r="B238" s="46" t="s">
        <v>259</v>
      </c>
      <c r="C238" s="30" t="s">
        <v>10</v>
      </c>
      <c r="D238" s="70">
        <v>146</v>
      </c>
      <c r="E238" s="12">
        <v>30000</v>
      </c>
      <c r="F238" s="15">
        <v>1</v>
      </c>
      <c r="G238" s="7">
        <f>F238*E238*D238</f>
        <v>4380000</v>
      </c>
    </row>
    <row r="239" spans="1:7" s="10" customFormat="1" ht="33">
      <c r="A239" s="25"/>
      <c r="B239" s="46" t="s">
        <v>257</v>
      </c>
      <c r="C239" s="30" t="s">
        <v>10</v>
      </c>
      <c r="D239" s="70">
        <f>D238</f>
        <v>146</v>
      </c>
      <c r="E239" s="12">
        <f>E238*2</f>
        <v>60000</v>
      </c>
      <c r="F239" s="15">
        <v>1</v>
      </c>
      <c r="G239" s="7">
        <f>F239*E239*D239</f>
        <v>8760000</v>
      </c>
    </row>
    <row r="240" spans="1:7" s="10" customFormat="1" ht="16.5">
      <c r="A240" s="37"/>
      <c r="B240" s="48" t="s">
        <v>209</v>
      </c>
      <c r="C240" s="57" t="s">
        <v>226</v>
      </c>
      <c r="D240" s="73">
        <f>146/10000</f>
        <v>0.0146</v>
      </c>
      <c r="E240" s="8">
        <v>66396000</v>
      </c>
      <c r="F240" s="15">
        <v>1</v>
      </c>
      <c r="G240" s="14">
        <f>F240*E240*D240</f>
        <v>969381.6</v>
      </c>
    </row>
    <row r="241" spans="1:7" s="10" customFormat="1" ht="16.5">
      <c r="A241" s="24">
        <v>13</v>
      </c>
      <c r="B241" s="49" t="s">
        <v>263</v>
      </c>
      <c r="C241" s="39"/>
      <c r="D241" s="68"/>
      <c r="E241" s="36"/>
      <c r="F241" s="35"/>
      <c r="G241" s="36">
        <f>ROUND(SUM(G242:G248),-3)</f>
        <v>133028000</v>
      </c>
    </row>
    <row r="242" spans="1:7" s="10" customFormat="1" ht="16.5">
      <c r="A242" s="25"/>
      <c r="B242" s="46" t="s">
        <v>259</v>
      </c>
      <c r="C242" s="30" t="s">
        <v>10</v>
      </c>
      <c r="D242" s="70">
        <v>1086.7</v>
      </c>
      <c r="E242" s="12">
        <v>30000</v>
      </c>
      <c r="F242" s="15">
        <v>1</v>
      </c>
      <c r="G242" s="7">
        <f aca="true" t="shared" si="7" ref="G242:G248">F242*E242*D242</f>
        <v>32601000</v>
      </c>
    </row>
    <row r="243" spans="1:7" s="10" customFormat="1" ht="33">
      <c r="A243" s="25"/>
      <c r="B243" s="46" t="s">
        <v>257</v>
      </c>
      <c r="C243" s="30" t="s">
        <v>10</v>
      </c>
      <c r="D243" s="70">
        <f>D242</f>
        <v>1086.7</v>
      </c>
      <c r="E243" s="12">
        <f>E242*2</f>
        <v>60000</v>
      </c>
      <c r="F243" s="15">
        <v>1</v>
      </c>
      <c r="G243" s="7">
        <f t="shared" si="7"/>
        <v>65202000</v>
      </c>
    </row>
    <row r="244" spans="1:7" s="10" customFormat="1" ht="16.5">
      <c r="A244" s="23"/>
      <c r="B244" s="47" t="s">
        <v>209</v>
      </c>
      <c r="C244" s="30" t="s">
        <v>226</v>
      </c>
      <c r="D244" s="71">
        <f>D243/10000</f>
        <v>0.10867</v>
      </c>
      <c r="E244" s="7">
        <v>66396000</v>
      </c>
      <c r="F244" s="16">
        <v>1</v>
      </c>
      <c r="G244" s="7">
        <f t="shared" si="7"/>
        <v>7215253.32</v>
      </c>
    </row>
    <row r="245" spans="1:7" s="10" customFormat="1" ht="33">
      <c r="A245" s="23"/>
      <c r="B245" s="47" t="s">
        <v>213</v>
      </c>
      <c r="C245" s="30" t="s">
        <v>13</v>
      </c>
      <c r="D245" s="71">
        <v>7</v>
      </c>
      <c r="E245" s="7">
        <v>2880000</v>
      </c>
      <c r="F245" s="16">
        <v>1.08</v>
      </c>
      <c r="G245" s="7">
        <f t="shared" si="7"/>
        <v>21772800</v>
      </c>
    </row>
    <row r="246" spans="1:7" s="10" customFormat="1" ht="16.5">
      <c r="A246" s="23"/>
      <c r="B246" s="47" t="s">
        <v>214</v>
      </c>
      <c r="C246" s="30" t="s">
        <v>13</v>
      </c>
      <c r="D246" s="71">
        <v>3</v>
      </c>
      <c r="E246" s="7">
        <v>1750000</v>
      </c>
      <c r="F246" s="16">
        <v>1.08</v>
      </c>
      <c r="G246" s="7">
        <f t="shared" si="7"/>
        <v>5670000.000000001</v>
      </c>
    </row>
    <row r="247" spans="1:7" s="10" customFormat="1" ht="16.5">
      <c r="A247" s="23"/>
      <c r="B247" s="47" t="s">
        <v>24</v>
      </c>
      <c r="C247" s="30" t="s">
        <v>17</v>
      </c>
      <c r="D247" s="71">
        <v>10</v>
      </c>
      <c r="E247" s="7">
        <v>48310</v>
      </c>
      <c r="F247" s="16">
        <v>1</v>
      </c>
      <c r="G247" s="7">
        <f t="shared" si="7"/>
        <v>483100</v>
      </c>
    </row>
    <row r="248" spans="1:7" s="10" customFormat="1" ht="16.5">
      <c r="A248" s="37"/>
      <c r="B248" s="48" t="s">
        <v>215</v>
      </c>
      <c r="C248" s="38" t="s">
        <v>17</v>
      </c>
      <c r="D248" s="73">
        <v>2</v>
      </c>
      <c r="E248" s="8">
        <v>42110</v>
      </c>
      <c r="F248" s="17">
        <v>1</v>
      </c>
      <c r="G248" s="8">
        <f t="shared" si="7"/>
        <v>84220</v>
      </c>
    </row>
    <row r="249" spans="1:7" s="10" customFormat="1" ht="16.5">
      <c r="A249" s="24">
        <v>14</v>
      </c>
      <c r="B249" s="49" t="s">
        <v>264</v>
      </c>
      <c r="C249" s="39"/>
      <c r="D249" s="68"/>
      <c r="E249" s="36"/>
      <c r="F249" s="35"/>
      <c r="G249" s="36">
        <f>ROUND(SUM(G250:G252),-3)</f>
        <v>231993000</v>
      </c>
    </row>
    <row r="250" spans="1:7" s="10" customFormat="1" ht="16.5">
      <c r="A250" s="25"/>
      <c r="B250" s="46" t="s">
        <v>11</v>
      </c>
      <c r="C250" s="53" t="s">
        <v>10</v>
      </c>
      <c r="D250" s="70">
        <v>1266.2</v>
      </c>
      <c r="E250" s="12">
        <v>30000</v>
      </c>
      <c r="F250" s="15">
        <v>1</v>
      </c>
      <c r="G250" s="12">
        <f>D250*E250*F250</f>
        <v>37986000</v>
      </c>
    </row>
    <row r="251" spans="1:7" s="10" customFormat="1" ht="16.5">
      <c r="A251" s="23"/>
      <c r="B251" s="47" t="s">
        <v>222</v>
      </c>
      <c r="C251" s="30" t="s">
        <v>10</v>
      </c>
      <c r="D251" s="70">
        <v>1266.2</v>
      </c>
      <c r="E251" s="7">
        <v>150000</v>
      </c>
      <c r="F251" s="16">
        <v>1</v>
      </c>
      <c r="G251" s="7">
        <f>F251*E251*D251</f>
        <v>189930000</v>
      </c>
    </row>
    <row r="252" spans="1:7" s="10" customFormat="1" ht="16.5">
      <c r="A252" s="37"/>
      <c r="B252" s="48" t="s">
        <v>84</v>
      </c>
      <c r="C252" s="38" t="s">
        <v>10</v>
      </c>
      <c r="D252" s="70">
        <v>1266.2</v>
      </c>
      <c r="E252" s="8">
        <v>3220</v>
      </c>
      <c r="F252" s="17">
        <v>1</v>
      </c>
      <c r="G252" s="8">
        <f>F252*E252*D252</f>
        <v>4077164</v>
      </c>
    </row>
    <row r="253" spans="1:7" s="10" customFormat="1" ht="16.5">
      <c r="A253" s="24">
        <v>15</v>
      </c>
      <c r="B253" s="49" t="s">
        <v>275</v>
      </c>
      <c r="C253" s="39"/>
      <c r="D253" s="68"/>
      <c r="E253" s="36"/>
      <c r="F253" s="35"/>
      <c r="G253" s="36">
        <f>ROUND(SUM(G254:G257),-3)</f>
        <v>52074000</v>
      </c>
    </row>
    <row r="254" spans="1:7" s="10" customFormat="1" ht="16.5">
      <c r="A254" s="25"/>
      <c r="B254" s="46" t="s">
        <v>259</v>
      </c>
      <c r="C254" s="30" t="s">
        <v>10</v>
      </c>
      <c r="D254" s="70">
        <v>421.5</v>
      </c>
      <c r="E254" s="12">
        <v>30000</v>
      </c>
      <c r="F254" s="15">
        <v>1</v>
      </c>
      <c r="G254" s="7">
        <f>F254*E254*D254</f>
        <v>12645000</v>
      </c>
    </row>
    <row r="255" spans="1:7" s="10" customFormat="1" ht="33">
      <c r="A255" s="25"/>
      <c r="B255" s="46" t="s">
        <v>257</v>
      </c>
      <c r="C255" s="30" t="s">
        <v>10</v>
      </c>
      <c r="D255" s="70">
        <f>D254</f>
        <v>421.5</v>
      </c>
      <c r="E255" s="12">
        <f>E254*2</f>
        <v>60000</v>
      </c>
      <c r="F255" s="15">
        <v>1</v>
      </c>
      <c r="G255" s="7">
        <f>F255*E255*D255</f>
        <v>25290000</v>
      </c>
    </row>
    <row r="256" spans="1:7" s="10" customFormat="1" ht="16.5">
      <c r="A256" s="23"/>
      <c r="B256" s="47" t="s">
        <v>209</v>
      </c>
      <c r="C256" s="30" t="s">
        <v>10</v>
      </c>
      <c r="D256" s="71">
        <f>D255/10000</f>
        <v>0.04215</v>
      </c>
      <c r="E256" s="7">
        <v>66396000</v>
      </c>
      <c r="F256" s="16">
        <v>1</v>
      </c>
      <c r="G256" s="8">
        <f>F256*E256*D256</f>
        <v>2798591.4</v>
      </c>
    </row>
    <row r="257" spans="1:7" s="10" customFormat="1" ht="16.5">
      <c r="A257" s="37"/>
      <c r="B257" s="48" t="s">
        <v>214</v>
      </c>
      <c r="C257" s="38" t="s">
        <v>216</v>
      </c>
      <c r="D257" s="73">
        <v>6</v>
      </c>
      <c r="E257" s="8">
        <v>1750000</v>
      </c>
      <c r="F257" s="17">
        <v>1.08</v>
      </c>
      <c r="G257" s="8">
        <f>F257*E257*D257</f>
        <v>11340000.000000002</v>
      </c>
    </row>
    <row r="258" spans="1:7" s="10" customFormat="1" ht="16.5">
      <c r="A258" s="24">
        <v>16</v>
      </c>
      <c r="B258" s="49" t="s">
        <v>265</v>
      </c>
      <c r="C258" s="39"/>
      <c r="D258" s="68"/>
      <c r="E258" s="36"/>
      <c r="F258" s="35"/>
      <c r="G258" s="36">
        <f>ROUND(SUM(G259:G261),-3)</f>
        <v>105736000</v>
      </c>
    </row>
    <row r="259" spans="1:7" s="10" customFormat="1" ht="16.5">
      <c r="A259" s="25"/>
      <c r="B259" s="46" t="s">
        <v>11</v>
      </c>
      <c r="C259" s="53" t="s">
        <v>10</v>
      </c>
      <c r="D259" s="70">
        <v>577.1</v>
      </c>
      <c r="E259" s="12">
        <v>30000</v>
      </c>
      <c r="F259" s="15">
        <v>1</v>
      </c>
      <c r="G259" s="12">
        <f>D259*E259*F259</f>
        <v>17313000</v>
      </c>
    </row>
    <row r="260" spans="1:7" s="10" customFormat="1" ht="16.5">
      <c r="A260" s="23"/>
      <c r="B260" s="47" t="s">
        <v>222</v>
      </c>
      <c r="C260" s="30" t="s">
        <v>10</v>
      </c>
      <c r="D260" s="70">
        <v>577.1</v>
      </c>
      <c r="E260" s="7">
        <v>150000</v>
      </c>
      <c r="F260" s="16">
        <v>1</v>
      </c>
      <c r="G260" s="7">
        <f>F260*E260*D260</f>
        <v>86565000</v>
      </c>
    </row>
    <row r="261" spans="1:7" s="10" customFormat="1" ht="16.5">
      <c r="A261" s="37"/>
      <c r="B261" s="48" t="s">
        <v>84</v>
      </c>
      <c r="C261" s="38" t="s">
        <v>10</v>
      </c>
      <c r="D261" s="70">
        <v>577.1</v>
      </c>
      <c r="E261" s="8">
        <v>3220</v>
      </c>
      <c r="F261" s="17">
        <v>1</v>
      </c>
      <c r="G261" s="8">
        <f>F261*E261*D261</f>
        <v>1858262</v>
      </c>
    </row>
    <row r="262" spans="1:7" s="10" customFormat="1" ht="16.5">
      <c r="A262" s="24">
        <v>17</v>
      </c>
      <c r="B262" s="49" t="s">
        <v>266</v>
      </c>
      <c r="C262" s="39"/>
      <c r="D262" s="68"/>
      <c r="E262" s="36"/>
      <c r="F262" s="35"/>
      <c r="G262" s="36">
        <f>ROUND(SUM(G263:G268),-3)</f>
        <v>128020000</v>
      </c>
    </row>
    <row r="263" spans="1:7" s="10" customFormat="1" ht="16.5">
      <c r="A263" s="25"/>
      <c r="B263" s="46" t="s">
        <v>267</v>
      </c>
      <c r="C263" s="30" t="s">
        <v>10</v>
      </c>
      <c r="D263" s="41">
        <v>1470.6</v>
      </c>
      <c r="E263" s="12">
        <v>30000</v>
      </c>
      <c r="F263" s="15">
        <v>1</v>
      </c>
      <c r="G263" s="7">
        <f aca="true" t="shared" si="8" ref="G263:G268">F263*E263*D263</f>
        <v>44118000</v>
      </c>
    </row>
    <row r="264" spans="1:7" s="10" customFormat="1" ht="33">
      <c r="A264" s="25"/>
      <c r="B264" s="46" t="s">
        <v>268</v>
      </c>
      <c r="C264" s="30" t="s">
        <v>10</v>
      </c>
      <c r="D264" s="41">
        <f>D263</f>
        <v>1470.6</v>
      </c>
      <c r="E264" s="12">
        <f>E263*1.5</f>
        <v>45000</v>
      </c>
      <c r="F264" s="15">
        <v>1</v>
      </c>
      <c r="G264" s="7">
        <f t="shared" si="8"/>
        <v>66176999.99999999</v>
      </c>
    </row>
    <row r="265" spans="1:7" s="10" customFormat="1" ht="16.5">
      <c r="A265" s="23"/>
      <c r="B265" s="47" t="s">
        <v>209</v>
      </c>
      <c r="C265" s="30" t="s">
        <v>226</v>
      </c>
      <c r="D265" s="71">
        <f>D264/10000</f>
        <v>0.14706</v>
      </c>
      <c r="E265" s="7">
        <v>66396000</v>
      </c>
      <c r="F265" s="16">
        <v>1</v>
      </c>
      <c r="G265" s="7">
        <f t="shared" si="8"/>
        <v>9764195.76</v>
      </c>
    </row>
    <row r="266" spans="1:7" s="10" customFormat="1" ht="16.5">
      <c r="A266" s="23"/>
      <c r="B266" s="47" t="s">
        <v>218</v>
      </c>
      <c r="C266" s="30" t="s">
        <v>219</v>
      </c>
      <c r="D266" s="71">
        <v>3</v>
      </c>
      <c r="E266" s="7">
        <v>1750000</v>
      </c>
      <c r="F266" s="16">
        <v>1.08</v>
      </c>
      <c r="G266" s="7">
        <f t="shared" si="8"/>
        <v>5670000.000000001</v>
      </c>
    </row>
    <row r="267" spans="1:7" s="10" customFormat="1" ht="16.5">
      <c r="A267" s="23"/>
      <c r="B267" s="47" t="s">
        <v>220</v>
      </c>
      <c r="C267" s="30" t="s">
        <v>13</v>
      </c>
      <c r="D267" s="71">
        <v>1</v>
      </c>
      <c r="E267" s="7">
        <v>1750000</v>
      </c>
      <c r="F267" s="16">
        <v>1.08</v>
      </c>
      <c r="G267" s="7">
        <f t="shared" si="8"/>
        <v>1890000.0000000002</v>
      </c>
    </row>
    <row r="268" spans="1:7" s="10" customFormat="1" ht="16.5">
      <c r="A268" s="37"/>
      <c r="B268" s="48" t="s">
        <v>217</v>
      </c>
      <c r="C268" s="38" t="s">
        <v>17</v>
      </c>
      <c r="D268" s="73">
        <v>52</v>
      </c>
      <c r="E268" s="8">
        <v>7700</v>
      </c>
      <c r="F268" s="17">
        <v>1</v>
      </c>
      <c r="G268" s="7">
        <f t="shared" si="8"/>
        <v>400400</v>
      </c>
    </row>
    <row r="269" spans="1:7" s="10" customFormat="1" ht="33">
      <c r="A269" s="24">
        <v>18</v>
      </c>
      <c r="B269" s="49" t="s">
        <v>269</v>
      </c>
      <c r="C269" s="39"/>
      <c r="D269" s="68"/>
      <c r="E269" s="36"/>
      <c r="F269" s="35"/>
      <c r="G269" s="36">
        <f>ROUND(SUM(G270:G273),-3)</f>
        <v>7776000</v>
      </c>
    </row>
    <row r="270" spans="1:7" s="10" customFormat="1" ht="16.5">
      <c r="A270" s="25"/>
      <c r="B270" s="46" t="s">
        <v>270</v>
      </c>
      <c r="C270" s="30" t="s">
        <v>10</v>
      </c>
      <c r="D270" s="41">
        <v>9.1</v>
      </c>
      <c r="E270" s="12">
        <v>30000</v>
      </c>
      <c r="F270" s="15">
        <v>1</v>
      </c>
      <c r="G270" s="7">
        <f>F270*E270*D270</f>
        <v>273000</v>
      </c>
    </row>
    <row r="271" spans="1:7" s="10" customFormat="1" ht="33">
      <c r="A271" s="25"/>
      <c r="B271" s="46" t="s">
        <v>246</v>
      </c>
      <c r="C271" s="30" t="s">
        <v>10</v>
      </c>
      <c r="D271" s="41">
        <f>D270</f>
        <v>9.1</v>
      </c>
      <c r="E271" s="12">
        <f>228000/2</f>
        <v>114000</v>
      </c>
      <c r="F271" s="15">
        <v>1</v>
      </c>
      <c r="G271" s="7">
        <f>F271*E271*D271</f>
        <v>1037400</v>
      </c>
    </row>
    <row r="272" spans="1:7" s="10" customFormat="1" ht="33">
      <c r="A272" s="23"/>
      <c r="B272" s="47" t="s">
        <v>210</v>
      </c>
      <c r="C272" s="30" t="s">
        <v>10</v>
      </c>
      <c r="D272" s="71">
        <f>2.6*3</f>
        <v>7.800000000000001</v>
      </c>
      <c r="E272" s="7">
        <v>700000</v>
      </c>
      <c r="F272" s="16">
        <v>1.08</v>
      </c>
      <c r="G272" s="7">
        <f>F272*E272*D272</f>
        <v>5896800.000000001</v>
      </c>
    </row>
    <row r="273" spans="1:7" s="10" customFormat="1" ht="16.5">
      <c r="A273" s="37"/>
      <c r="B273" s="48" t="s">
        <v>211</v>
      </c>
      <c r="C273" s="38" t="s">
        <v>17</v>
      </c>
      <c r="D273" s="73">
        <v>1</v>
      </c>
      <c r="E273" s="8">
        <v>569000</v>
      </c>
      <c r="F273" s="17">
        <v>1</v>
      </c>
      <c r="G273" s="7">
        <f>F273*E273*D273</f>
        <v>569000</v>
      </c>
    </row>
    <row r="274" spans="1:7" s="20" customFormat="1" ht="33">
      <c r="A274" s="42">
        <v>19</v>
      </c>
      <c r="B274" s="45" t="s">
        <v>271</v>
      </c>
      <c r="C274" s="54"/>
      <c r="D274" s="74"/>
      <c r="E274" s="13"/>
      <c r="F274" s="18"/>
      <c r="G274" s="13">
        <f>ROUND(SUM(G275:G328),-3)</f>
        <v>779835000</v>
      </c>
    </row>
    <row r="275" spans="1:7" s="10" customFormat="1" ht="16.5">
      <c r="A275" s="25"/>
      <c r="B275" s="46" t="s">
        <v>251</v>
      </c>
      <c r="C275" s="30" t="s">
        <v>10</v>
      </c>
      <c r="D275" s="41">
        <v>400</v>
      </c>
      <c r="E275" s="12">
        <v>228000</v>
      </c>
      <c r="F275" s="15">
        <v>1</v>
      </c>
      <c r="G275" s="7">
        <f>F275*E275*D275</f>
        <v>91200000</v>
      </c>
    </row>
    <row r="276" spans="1:7" s="10" customFormat="1" ht="16.5">
      <c r="A276" s="25"/>
      <c r="B276" s="46" t="s">
        <v>242</v>
      </c>
      <c r="C276" s="30" t="s">
        <v>10</v>
      </c>
      <c r="D276" s="41">
        <v>146.4</v>
      </c>
      <c r="E276" s="12">
        <v>30000</v>
      </c>
      <c r="F276" s="15">
        <v>1</v>
      </c>
      <c r="G276" s="7">
        <f aca="true" t="shared" si="9" ref="G276:G328">F276*E276*D276</f>
        <v>4392000</v>
      </c>
    </row>
    <row r="277" spans="1:7" s="10" customFormat="1" ht="33">
      <c r="A277" s="25"/>
      <c r="B277" s="46" t="s">
        <v>246</v>
      </c>
      <c r="C277" s="30" t="s">
        <v>10</v>
      </c>
      <c r="D277" s="41">
        <v>146.4</v>
      </c>
      <c r="E277" s="12">
        <f>228000/2</f>
        <v>114000</v>
      </c>
      <c r="F277" s="15">
        <v>1</v>
      </c>
      <c r="G277" s="7">
        <f t="shared" si="9"/>
        <v>16689600</v>
      </c>
    </row>
    <row r="278" spans="1:7" s="10" customFormat="1" ht="33">
      <c r="A278" s="23"/>
      <c r="B278" s="47" t="s">
        <v>146</v>
      </c>
      <c r="C278" s="30" t="s">
        <v>10</v>
      </c>
      <c r="D278" s="71">
        <f>8.5*5.4</f>
        <v>45.900000000000006</v>
      </c>
      <c r="E278" s="7">
        <v>3560000</v>
      </c>
      <c r="F278" s="16">
        <v>1.08</v>
      </c>
      <c r="G278" s="7">
        <f t="shared" si="9"/>
        <v>176476320.00000003</v>
      </c>
    </row>
    <row r="279" spans="1:7" s="10" customFormat="1" ht="33">
      <c r="A279" s="23"/>
      <c r="B279" s="47" t="s">
        <v>147</v>
      </c>
      <c r="C279" s="30" t="s">
        <v>10</v>
      </c>
      <c r="D279" s="71">
        <f>8.5*3</f>
        <v>25.5</v>
      </c>
      <c r="E279" s="7">
        <v>3150000</v>
      </c>
      <c r="F279" s="16">
        <v>1.08</v>
      </c>
      <c r="G279" s="7">
        <f t="shared" si="9"/>
        <v>86751000</v>
      </c>
    </row>
    <row r="280" spans="1:7" s="10" customFormat="1" ht="33">
      <c r="A280" s="23"/>
      <c r="B280" s="47" t="s">
        <v>148</v>
      </c>
      <c r="C280" s="30" t="s">
        <v>10</v>
      </c>
      <c r="D280" s="71">
        <f>5.4*3</f>
        <v>16.200000000000003</v>
      </c>
      <c r="E280" s="7">
        <v>2430000</v>
      </c>
      <c r="F280" s="16">
        <v>1.08</v>
      </c>
      <c r="G280" s="7">
        <f t="shared" si="9"/>
        <v>42515280.00000001</v>
      </c>
    </row>
    <row r="281" spans="1:7" s="10" customFormat="1" ht="49.5">
      <c r="A281" s="23"/>
      <c r="B281" s="47" t="s">
        <v>149</v>
      </c>
      <c r="C281" s="30" t="s">
        <v>10</v>
      </c>
      <c r="D281" s="71">
        <f>(5.7*8.5)+(0.4*2.7)</f>
        <v>49.53</v>
      </c>
      <c r="E281" s="7">
        <v>2980000</v>
      </c>
      <c r="F281" s="16">
        <v>1.08</v>
      </c>
      <c r="G281" s="7">
        <f t="shared" si="9"/>
        <v>159407352</v>
      </c>
    </row>
    <row r="282" spans="1:7" s="10" customFormat="1" ht="49.5">
      <c r="A282" s="23"/>
      <c r="B282" s="47" t="s">
        <v>150</v>
      </c>
      <c r="C282" s="30" t="s">
        <v>10</v>
      </c>
      <c r="D282" s="71">
        <f>(9.2*7)+(9.9*6.9)+(3*3)</f>
        <v>141.70999999999998</v>
      </c>
      <c r="E282" s="7">
        <f>510000+276000</f>
        <v>786000</v>
      </c>
      <c r="F282" s="16">
        <v>1.08</v>
      </c>
      <c r="G282" s="7">
        <f t="shared" si="9"/>
        <v>120294784.79999998</v>
      </c>
    </row>
    <row r="283" spans="1:7" s="10" customFormat="1" ht="33">
      <c r="A283" s="23"/>
      <c r="B283" s="47" t="s">
        <v>151</v>
      </c>
      <c r="C283" s="30" t="s">
        <v>10</v>
      </c>
      <c r="D283" s="71">
        <f>3*2.4</f>
        <v>7.199999999999999</v>
      </c>
      <c r="E283" s="7">
        <v>559000</v>
      </c>
      <c r="F283" s="16">
        <v>1.08</v>
      </c>
      <c r="G283" s="7">
        <f t="shared" si="9"/>
        <v>4346784</v>
      </c>
    </row>
    <row r="284" spans="1:7" s="10" customFormat="1" ht="33">
      <c r="A284" s="23"/>
      <c r="B284" s="47" t="s">
        <v>152</v>
      </c>
      <c r="C284" s="30" t="s">
        <v>10</v>
      </c>
      <c r="D284" s="71">
        <f>1.2*8.9</f>
        <v>10.68</v>
      </c>
      <c r="E284" s="7">
        <f>510000+276000</f>
        <v>786000</v>
      </c>
      <c r="F284" s="16">
        <v>1.08</v>
      </c>
      <c r="G284" s="7">
        <f t="shared" si="9"/>
        <v>9066038.4</v>
      </c>
    </row>
    <row r="285" spans="1:7" s="10" customFormat="1" ht="33">
      <c r="A285" s="23"/>
      <c r="B285" s="47" t="s">
        <v>153</v>
      </c>
      <c r="C285" s="30" t="s">
        <v>10</v>
      </c>
      <c r="D285" s="71">
        <f>2*3</f>
        <v>6</v>
      </c>
      <c r="E285" s="7">
        <v>349000</v>
      </c>
      <c r="F285" s="16">
        <v>1.08</v>
      </c>
      <c r="G285" s="7">
        <f t="shared" si="9"/>
        <v>2261520</v>
      </c>
    </row>
    <row r="286" spans="1:7" s="10" customFormat="1" ht="33">
      <c r="A286" s="23"/>
      <c r="B286" s="47" t="s">
        <v>154</v>
      </c>
      <c r="C286" s="30" t="s">
        <v>10</v>
      </c>
      <c r="D286" s="71">
        <f>5.4*2.8</f>
        <v>15.12</v>
      </c>
      <c r="E286" s="7">
        <v>667000</v>
      </c>
      <c r="F286" s="16">
        <v>1.08</v>
      </c>
      <c r="G286" s="7">
        <f t="shared" si="9"/>
        <v>10891843.2</v>
      </c>
    </row>
    <row r="287" spans="1:7" s="10" customFormat="1" ht="33">
      <c r="A287" s="23"/>
      <c r="B287" s="47" t="s">
        <v>155</v>
      </c>
      <c r="C287" s="30" t="s">
        <v>10</v>
      </c>
      <c r="D287" s="71">
        <f>(2.2*2.8)+(2.8*2.8)</f>
        <v>14</v>
      </c>
      <c r="E287" s="7">
        <v>138000</v>
      </c>
      <c r="F287" s="16">
        <v>1.08</v>
      </c>
      <c r="G287" s="7">
        <f t="shared" si="9"/>
        <v>2086560</v>
      </c>
    </row>
    <row r="288" spans="1:7" s="10" customFormat="1" ht="16.5">
      <c r="A288" s="23"/>
      <c r="B288" s="47" t="s">
        <v>156</v>
      </c>
      <c r="C288" s="30" t="s">
        <v>203</v>
      </c>
      <c r="D288" s="71">
        <f>4.6*1.3*0.12</f>
        <v>0.7175999999999999</v>
      </c>
      <c r="E288" s="7">
        <v>1624000</v>
      </c>
      <c r="F288" s="16">
        <v>1.08</v>
      </c>
      <c r="G288" s="7">
        <f t="shared" si="9"/>
        <v>1258612.9919999999</v>
      </c>
    </row>
    <row r="289" spans="1:7" s="10" customFormat="1" ht="16.5">
      <c r="A289" s="23"/>
      <c r="B289" s="47" t="s">
        <v>157</v>
      </c>
      <c r="C289" s="30" t="s">
        <v>203</v>
      </c>
      <c r="D289" s="71">
        <f>2.4*0.6*0.1</f>
        <v>0.144</v>
      </c>
      <c r="E289" s="7">
        <v>1944000</v>
      </c>
      <c r="F289" s="16">
        <v>1.08</v>
      </c>
      <c r="G289" s="7">
        <f t="shared" si="9"/>
        <v>302330.88</v>
      </c>
    </row>
    <row r="290" spans="1:7" s="10" customFormat="1" ht="16.5">
      <c r="A290" s="23"/>
      <c r="B290" s="47" t="s">
        <v>158</v>
      </c>
      <c r="C290" s="30" t="s">
        <v>10</v>
      </c>
      <c r="D290" s="71">
        <f>1.2*2.4</f>
        <v>2.88</v>
      </c>
      <c r="E290" s="7">
        <v>300000</v>
      </c>
      <c r="F290" s="16">
        <v>1.08</v>
      </c>
      <c r="G290" s="7">
        <f t="shared" si="9"/>
        <v>933120</v>
      </c>
    </row>
    <row r="291" spans="1:7" s="10" customFormat="1" ht="16.5">
      <c r="A291" s="23"/>
      <c r="B291" s="47" t="s">
        <v>159</v>
      </c>
      <c r="C291" s="30" t="s">
        <v>203</v>
      </c>
      <c r="D291" s="71">
        <f>0.15*0.6*0.9*3</f>
        <v>0.243</v>
      </c>
      <c r="E291" s="7">
        <v>1624000</v>
      </c>
      <c r="F291" s="16">
        <v>1.08</v>
      </c>
      <c r="G291" s="7">
        <f t="shared" si="9"/>
        <v>426202.56</v>
      </c>
    </row>
    <row r="292" spans="1:7" s="10" customFormat="1" ht="16.5">
      <c r="A292" s="23"/>
      <c r="B292" s="47" t="s">
        <v>160</v>
      </c>
      <c r="C292" s="30" t="s">
        <v>203</v>
      </c>
      <c r="D292" s="71">
        <f>0.7*1.5*1</f>
        <v>1.0499999999999998</v>
      </c>
      <c r="E292" s="7">
        <v>1090000</v>
      </c>
      <c r="F292" s="16">
        <v>1.08</v>
      </c>
      <c r="G292" s="7">
        <f t="shared" si="9"/>
        <v>1236059.9999999998</v>
      </c>
    </row>
    <row r="293" spans="1:7" s="10" customFormat="1" ht="16.5">
      <c r="A293" s="23"/>
      <c r="B293" s="47" t="s">
        <v>161</v>
      </c>
      <c r="C293" s="30" t="s">
        <v>10</v>
      </c>
      <c r="D293" s="71">
        <f>5.3*1.6</f>
        <v>8.48</v>
      </c>
      <c r="E293" s="7">
        <v>300000</v>
      </c>
      <c r="F293" s="16">
        <v>1.08</v>
      </c>
      <c r="G293" s="7">
        <f t="shared" si="9"/>
        <v>2747520</v>
      </c>
    </row>
    <row r="294" spans="1:7" s="10" customFormat="1" ht="16.5">
      <c r="A294" s="23"/>
      <c r="B294" s="47" t="s">
        <v>162</v>
      </c>
      <c r="C294" s="30" t="s">
        <v>10</v>
      </c>
      <c r="D294" s="71">
        <f>5.5*1.2</f>
        <v>6.6</v>
      </c>
      <c r="E294" s="7">
        <v>300000</v>
      </c>
      <c r="F294" s="16">
        <v>1.08</v>
      </c>
      <c r="G294" s="7">
        <f t="shared" si="9"/>
        <v>2138400</v>
      </c>
    </row>
    <row r="295" spans="1:7" s="10" customFormat="1" ht="33">
      <c r="A295" s="23"/>
      <c r="B295" s="47" t="s">
        <v>163</v>
      </c>
      <c r="C295" s="30" t="s">
        <v>10</v>
      </c>
      <c r="D295" s="71">
        <f>(11.4+4.6+17+11.4+33+19.5+13)*1.5</f>
        <v>164.85000000000002</v>
      </c>
      <c r="E295" s="7">
        <v>10000</v>
      </c>
      <c r="F295" s="16">
        <v>1.08</v>
      </c>
      <c r="G295" s="7">
        <f t="shared" si="9"/>
        <v>1780380.0000000002</v>
      </c>
    </row>
    <row r="296" spans="1:7" s="10" customFormat="1" ht="16.5">
      <c r="A296" s="23"/>
      <c r="B296" s="47" t="s">
        <v>164</v>
      </c>
      <c r="C296" s="30" t="s">
        <v>10</v>
      </c>
      <c r="D296" s="71">
        <f>3.2*1.8</f>
        <v>5.760000000000001</v>
      </c>
      <c r="E296" s="7">
        <v>600000</v>
      </c>
      <c r="F296" s="16">
        <v>1.08</v>
      </c>
      <c r="G296" s="7">
        <f t="shared" si="9"/>
        <v>3732480.0000000005</v>
      </c>
    </row>
    <row r="297" spans="1:7" s="10" customFormat="1" ht="16.5">
      <c r="A297" s="23"/>
      <c r="B297" s="47" t="s">
        <v>165</v>
      </c>
      <c r="C297" s="30" t="s">
        <v>203</v>
      </c>
      <c r="D297" s="71">
        <f>0.15*0.15*1.8*46</f>
        <v>1.863</v>
      </c>
      <c r="E297" s="7">
        <v>2500000</v>
      </c>
      <c r="F297" s="16">
        <v>1.08</v>
      </c>
      <c r="G297" s="7">
        <f t="shared" si="9"/>
        <v>5030100</v>
      </c>
    </row>
    <row r="298" spans="1:7" s="10" customFormat="1" ht="16.5">
      <c r="A298" s="23"/>
      <c r="B298" s="47" t="s">
        <v>166</v>
      </c>
      <c r="C298" s="30" t="s">
        <v>10</v>
      </c>
      <c r="D298" s="71">
        <f>(6.8*4.8)+(1.8*3.7)</f>
        <v>39.3</v>
      </c>
      <c r="E298" s="7">
        <v>276000</v>
      </c>
      <c r="F298" s="16">
        <v>1.08</v>
      </c>
      <c r="G298" s="7">
        <f t="shared" si="9"/>
        <v>11714544</v>
      </c>
    </row>
    <row r="299" spans="1:7" s="10" customFormat="1" ht="16.5">
      <c r="A299" s="23"/>
      <c r="B299" s="47" t="s">
        <v>167</v>
      </c>
      <c r="C299" s="30" t="s">
        <v>10</v>
      </c>
      <c r="D299" s="71">
        <f>0.8*2.8*4</f>
        <v>8.959999999999999</v>
      </c>
      <c r="E299" s="7">
        <v>300000</v>
      </c>
      <c r="F299" s="16">
        <v>1.08</v>
      </c>
      <c r="G299" s="7">
        <f t="shared" si="9"/>
        <v>2903039.9999999995</v>
      </c>
    </row>
    <row r="300" spans="1:7" s="10" customFormat="1" ht="16.5">
      <c r="A300" s="23"/>
      <c r="B300" s="47" t="s">
        <v>16</v>
      </c>
      <c r="C300" s="30" t="s">
        <v>82</v>
      </c>
      <c r="D300" s="71">
        <v>25</v>
      </c>
      <c r="E300" s="7">
        <v>25000</v>
      </c>
      <c r="F300" s="16">
        <v>1.08</v>
      </c>
      <c r="G300" s="7">
        <f t="shared" si="9"/>
        <v>675000</v>
      </c>
    </row>
    <row r="301" spans="1:7" s="10" customFormat="1" ht="16.5">
      <c r="A301" s="23"/>
      <c r="B301" s="47" t="s">
        <v>14</v>
      </c>
      <c r="C301" s="30" t="s">
        <v>82</v>
      </c>
      <c r="D301" s="71">
        <v>95</v>
      </c>
      <c r="E301" s="7">
        <v>25000</v>
      </c>
      <c r="F301" s="16">
        <v>1.08</v>
      </c>
      <c r="G301" s="7">
        <f t="shared" si="9"/>
        <v>2565000</v>
      </c>
    </row>
    <row r="302" spans="1:7" s="10" customFormat="1" ht="16.5">
      <c r="A302" s="23"/>
      <c r="B302" s="47" t="s">
        <v>168</v>
      </c>
      <c r="C302" s="30" t="s">
        <v>17</v>
      </c>
      <c r="D302" s="71">
        <v>1</v>
      </c>
      <c r="E302" s="7">
        <v>101000</v>
      </c>
      <c r="F302" s="16">
        <v>1</v>
      </c>
      <c r="G302" s="7">
        <f t="shared" si="9"/>
        <v>101000</v>
      </c>
    </row>
    <row r="303" spans="1:7" s="10" customFormat="1" ht="16.5">
      <c r="A303" s="23"/>
      <c r="B303" s="47" t="s">
        <v>18</v>
      </c>
      <c r="C303" s="30" t="s">
        <v>17</v>
      </c>
      <c r="D303" s="71">
        <v>33</v>
      </c>
      <c r="E303" s="7">
        <v>25100</v>
      </c>
      <c r="F303" s="16">
        <v>1</v>
      </c>
      <c r="G303" s="7">
        <f t="shared" si="9"/>
        <v>828300</v>
      </c>
    </row>
    <row r="304" spans="1:7" s="10" customFormat="1" ht="16.5">
      <c r="A304" s="23"/>
      <c r="B304" s="47" t="s">
        <v>169</v>
      </c>
      <c r="C304" s="30" t="s">
        <v>17</v>
      </c>
      <c r="D304" s="71">
        <v>37</v>
      </c>
      <c r="E304" s="7">
        <v>6600</v>
      </c>
      <c r="F304" s="16">
        <v>1</v>
      </c>
      <c r="G304" s="7">
        <f t="shared" si="9"/>
        <v>244200</v>
      </c>
    </row>
    <row r="305" spans="1:7" s="10" customFormat="1" ht="16.5">
      <c r="A305" s="23"/>
      <c r="B305" s="47" t="s">
        <v>170</v>
      </c>
      <c r="C305" s="30" t="s">
        <v>17</v>
      </c>
      <c r="D305" s="71">
        <v>10</v>
      </c>
      <c r="E305" s="7">
        <v>36000</v>
      </c>
      <c r="F305" s="16">
        <v>1</v>
      </c>
      <c r="G305" s="7">
        <f t="shared" si="9"/>
        <v>360000</v>
      </c>
    </row>
    <row r="306" spans="1:7" s="10" customFormat="1" ht="16.5">
      <c r="A306" s="23"/>
      <c r="B306" s="47" t="s">
        <v>171</v>
      </c>
      <c r="C306" s="30" t="s">
        <v>17</v>
      </c>
      <c r="D306" s="71">
        <v>42</v>
      </c>
      <c r="E306" s="7">
        <v>10000</v>
      </c>
      <c r="F306" s="16">
        <v>1</v>
      </c>
      <c r="G306" s="7">
        <f t="shared" si="9"/>
        <v>420000</v>
      </c>
    </row>
    <row r="307" spans="1:7" s="10" customFormat="1" ht="16.5">
      <c r="A307" s="23"/>
      <c r="B307" s="47" t="s">
        <v>172</v>
      </c>
      <c r="C307" s="30" t="s">
        <v>17</v>
      </c>
      <c r="D307" s="71">
        <v>1</v>
      </c>
      <c r="E307" s="7">
        <v>106000</v>
      </c>
      <c r="F307" s="16">
        <v>1</v>
      </c>
      <c r="G307" s="7">
        <f t="shared" si="9"/>
        <v>106000</v>
      </c>
    </row>
    <row r="308" spans="1:7" s="10" customFormat="1" ht="16.5">
      <c r="A308" s="23"/>
      <c r="B308" s="47" t="s">
        <v>27</v>
      </c>
      <c r="C308" s="30" t="s">
        <v>10</v>
      </c>
      <c r="D308" s="71">
        <v>30</v>
      </c>
      <c r="E308" s="7">
        <v>3960</v>
      </c>
      <c r="F308" s="16">
        <v>1</v>
      </c>
      <c r="G308" s="7">
        <f t="shared" si="9"/>
        <v>118800</v>
      </c>
    </row>
    <row r="309" spans="1:7" s="10" customFormat="1" ht="16.5">
      <c r="A309" s="23"/>
      <c r="B309" s="47" t="s">
        <v>173</v>
      </c>
      <c r="C309" s="30" t="s">
        <v>17</v>
      </c>
      <c r="D309" s="71">
        <v>36</v>
      </c>
      <c r="E309" s="7">
        <v>41000</v>
      </c>
      <c r="F309" s="16">
        <v>1</v>
      </c>
      <c r="G309" s="7">
        <f t="shared" si="9"/>
        <v>1476000</v>
      </c>
    </row>
    <row r="310" spans="1:7" s="10" customFormat="1" ht="16.5">
      <c r="A310" s="23"/>
      <c r="B310" s="47" t="s">
        <v>174</v>
      </c>
      <c r="C310" s="30" t="s">
        <v>10</v>
      </c>
      <c r="D310" s="71">
        <v>25</v>
      </c>
      <c r="E310" s="7">
        <v>3300</v>
      </c>
      <c r="F310" s="16">
        <v>1</v>
      </c>
      <c r="G310" s="7">
        <f t="shared" si="9"/>
        <v>82500</v>
      </c>
    </row>
    <row r="311" spans="1:7" s="10" customFormat="1" ht="16.5">
      <c r="A311" s="23"/>
      <c r="B311" s="47" t="s">
        <v>74</v>
      </c>
      <c r="C311" s="30" t="s">
        <v>17</v>
      </c>
      <c r="D311" s="71">
        <v>27</v>
      </c>
      <c r="E311" s="7">
        <v>500</v>
      </c>
      <c r="F311" s="16">
        <v>1</v>
      </c>
      <c r="G311" s="7">
        <f t="shared" si="9"/>
        <v>13500</v>
      </c>
    </row>
    <row r="312" spans="1:7" s="10" customFormat="1" ht="16.5">
      <c r="A312" s="23"/>
      <c r="B312" s="47" t="s">
        <v>79</v>
      </c>
      <c r="C312" s="30" t="s">
        <v>10</v>
      </c>
      <c r="D312" s="71">
        <v>12</v>
      </c>
      <c r="E312" s="7">
        <v>3960</v>
      </c>
      <c r="F312" s="16">
        <v>1</v>
      </c>
      <c r="G312" s="7">
        <f t="shared" si="9"/>
        <v>47520</v>
      </c>
    </row>
    <row r="313" spans="1:7" s="10" customFormat="1" ht="16.5">
      <c r="A313" s="23"/>
      <c r="B313" s="47" t="s">
        <v>86</v>
      </c>
      <c r="C313" s="30" t="s">
        <v>17</v>
      </c>
      <c r="D313" s="71">
        <v>1</v>
      </c>
      <c r="E313" s="7">
        <v>282000</v>
      </c>
      <c r="F313" s="16">
        <v>1</v>
      </c>
      <c r="G313" s="7">
        <f t="shared" si="9"/>
        <v>282000</v>
      </c>
    </row>
    <row r="314" spans="1:7" s="10" customFormat="1" ht="16.5">
      <c r="A314" s="23"/>
      <c r="B314" s="47" t="s">
        <v>141</v>
      </c>
      <c r="C314" s="30" t="s">
        <v>17</v>
      </c>
      <c r="D314" s="71">
        <v>1</v>
      </c>
      <c r="E314" s="7">
        <v>49000</v>
      </c>
      <c r="F314" s="16">
        <v>1</v>
      </c>
      <c r="G314" s="7">
        <f t="shared" si="9"/>
        <v>49000</v>
      </c>
    </row>
    <row r="315" spans="1:7" s="10" customFormat="1" ht="16.5">
      <c r="A315" s="23"/>
      <c r="B315" s="47" t="s">
        <v>21</v>
      </c>
      <c r="C315" s="30" t="s">
        <v>17</v>
      </c>
      <c r="D315" s="71">
        <v>2</v>
      </c>
      <c r="E315" s="7">
        <v>25100</v>
      </c>
      <c r="F315" s="16">
        <v>1</v>
      </c>
      <c r="G315" s="7">
        <f t="shared" si="9"/>
        <v>50200</v>
      </c>
    </row>
    <row r="316" spans="1:7" s="10" customFormat="1" ht="16.5">
      <c r="A316" s="23"/>
      <c r="B316" s="47" t="s">
        <v>171</v>
      </c>
      <c r="C316" s="30" t="s">
        <v>17</v>
      </c>
      <c r="D316" s="71">
        <v>95</v>
      </c>
      <c r="E316" s="7">
        <v>10000</v>
      </c>
      <c r="F316" s="16">
        <v>1</v>
      </c>
      <c r="G316" s="7">
        <f t="shared" si="9"/>
        <v>950000</v>
      </c>
    </row>
    <row r="317" spans="1:7" s="10" customFormat="1" ht="16.5">
      <c r="A317" s="23"/>
      <c r="B317" s="47" t="s">
        <v>81</v>
      </c>
      <c r="C317" s="30" t="s">
        <v>17</v>
      </c>
      <c r="D317" s="71">
        <v>60</v>
      </c>
      <c r="E317" s="7">
        <v>41000</v>
      </c>
      <c r="F317" s="16">
        <v>1</v>
      </c>
      <c r="G317" s="7">
        <f t="shared" si="9"/>
        <v>2460000</v>
      </c>
    </row>
    <row r="318" spans="1:7" s="10" customFormat="1" ht="16.5">
      <c r="A318" s="23"/>
      <c r="B318" s="47" t="s">
        <v>24</v>
      </c>
      <c r="C318" s="30" t="s">
        <v>17</v>
      </c>
      <c r="D318" s="71">
        <v>8</v>
      </c>
      <c r="E318" s="7">
        <v>48310</v>
      </c>
      <c r="F318" s="16">
        <v>1</v>
      </c>
      <c r="G318" s="7">
        <f t="shared" si="9"/>
        <v>386480</v>
      </c>
    </row>
    <row r="319" spans="1:7" s="10" customFormat="1" ht="16.5">
      <c r="A319" s="23"/>
      <c r="B319" s="47" t="s">
        <v>175</v>
      </c>
      <c r="C319" s="30" t="s">
        <v>17</v>
      </c>
      <c r="D319" s="71">
        <v>1</v>
      </c>
      <c r="E319" s="7">
        <v>271000</v>
      </c>
      <c r="F319" s="16">
        <v>1</v>
      </c>
      <c r="G319" s="7">
        <f t="shared" si="9"/>
        <v>271000</v>
      </c>
    </row>
    <row r="320" spans="1:7" s="10" customFormat="1" ht="16.5">
      <c r="A320" s="23"/>
      <c r="B320" s="47" t="s">
        <v>87</v>
      </c>
      <c r="C320" s="30" t="s">
        <v>17</v>
      </c>
      <c r="D320" s="71">
        <v>6</v>
      </c>
      <c r="E320" s="7">
        <v>500000</v>
      </c>
      <c r="F320" s="16">
        <v>1</v>
      </c>
      <c r="G320" s="7">
        <f t="shared" si="9"/>
        <v>3000000</v>
      </c>
    </row>
    <row r="321" spans="1:7" s="10" customFormat="1" ht="16.5">
      <c r="A321" s="23"/>
      <c r="B321" s="47" t="s">
        <v>176</v>
      </c>
      <c r="C321" s="30" t="s">
        <v>17</v>
      </c>
      <c r="D321" s="71">
        <v>6</v>
      </c>
      <c r="E321" s="7">
        <v>168000</v>
      </c>
      <c r="F321" s="16">
        <v>1</v>
      </c>
      <c r="G321" s="7">
        <f t="shared" si="9"/>
        <v>1008000</v>
      </c>
    </row>
    <row r="322" spans="1:8" s="10" customFormat="1" ht="16.5">
      <c r="A322" s="23"/>
      <c r="B322" s="47" t="s">
        <v>141</v>
      </c>
      <c r="C322" s="30" t="s">
        <v>17</v>
      </c>
      <c r="D322" s="71">
        <v>1</v>
      </c>
      <c r="E322" s="7">
        <v>49000</v>
      </c>
      <c r="F322" s="16">
        <v>1</v>
      </c>
      <c r="G322" s="7">
        <f t="shared" si="9"/>
        <v>49000</v>
      </c>
      <c r="H322" s="10" t="s">
        <v>277</v>
      </c>
    </row>
    <row r="323" spans="1:7" s="10" customFormat="1" ht="16.5">
      <c r="A323" s="23"/>
      <c r="B323" s="47" t="s">
        <v>177</v>
      </c>
      <c r="C323" s="30" t="s">
        <v>17</v>
      </c>
      <c r="D323" s="71">
        <v>1</v>
      </c>
      <c r="E323" s="7">
        <v>250000</v>
      </c>
      <c r="F323" s="16">
        <v>1</v>
      </c>
      <c r="G323" s="7">
        <f t="shared" si="9"/>
        <v>250000</v>
      </c>
    </row>
    <row r="324" spans="1:7" s="10" customFormat="1" ht="16.5">
      <c r="A324" s="23"/>
      <c r="B324" s="47" t="s">
        <v>178</v>
      </c>
      <c r="C324" s="30" t="s">
        <v>17</v>
      </c>
      <c r="D324" s="71">
        <v>1</v>
      </c>
      <c r="E324" s="7">
        <v>34450</v>
      </c>
      <c r="F324" s="16">
        <v>1</v>
      </c>
      <c r="G324" s="7">
        <f t="shared" si="9"/>
        <v>34450</v>
      </c>
    </row>
    <row r="325" spans="1:7" s="10" customFormat="1" ht="16.5">
      <c r="A325" s="23"/>
      <c r="B325" s="47" t="s">
        <v>80</v>
      </c>
      <c r="C325" s="30" t="s">
        <v>17</v>
      </c>
      <c r="D325" s="71">
        <v>6</v>
      </c>
      <c r="E325" s="7">
        <v>31150</v>
      </c>
      <c r="F325" s="16">
        <v>1</v>
      </c>
      <c r="G325" s="7">
        <f t="shared" si="9"/>
        <v>186900</v>
      </c>
    </row>
    <row r="326" spans="1:9" s="10" customFormat="1" ht="16.5">
      <c r="A326" s="23"/>
      <c r="B326" s="47" t="s">
        <v>18</v>
      </c>
      <c r="C326" s="30" t="s">
        <v>17</v>
      </c>
      <c r="D326" s="71">
        <v>15</v>
      </c>
      <c r="E326" s="7">
        <v>25100</v>
      </c>
      <c r="F326" s="16">
        <v>1</v>
      </c>
      <c r="G326" s="7">
        <f t="shared" si="9"/>
        <v>376500</v>
      </c>
      <c r="I326" s="10">
        <f>1961+55</f>
        <v>2016</v>
      </c>
    </row>
    <row r="327" spans="1:7" s="94" customFormat="1" ht="16.5">
      <c r="A327" s="90"/>
      <c r="B327" s="60" t="s">
        <v>179</v>
      </c>
      <c r="C327" s="61" t="s">
        <v>10</v>
      </c>
      <c r="D327" s="91">
        <f>6.5*1</f>
        <v>6.5</v>
      </c>
      <c r="E327" s="92">
        <v>100000</v>
      </c>
      <c r="F327" s="93">
        <v>1.08</v>
      </c>
      <c r="G327" s="92">
        <f t="shared" si="9"/>
        <v>702000</v>
      </c>
    </row>
    <row r="328" spans="1:7" s="10" customFormat="1" ht="16.5">
      <c r="A328" s="37"/>
      <c r="B328" s="48" t="s">
        <v>180</v>
      </c>
      <c r="C328" s="38" t="s">
        <v>225</v>
      </c>
      <c r="D328" s="73">
        <v>10</v>
      </c>
      <c r="E328" s="8">
        <v>200000</v>
      </c>
      <c r="F328" s="17">
        <v>1.08</v>
      </c>
      <c r="G328" s="7">
        <f t="shared" si="9"/>
        <v>2160000</v>
      </c>
    </row>
    <row r="329" spans="1:7" s="10" customFormat="1" ht="16.5">
      <c r="A329" s="26"/>
      <c r="D329" s="77"/>
      <c r="E329" s="27"/>
      <c r="F329" s="28"/>
      <c r="G329" s="29"/>
    </row>
    <row r="330" spans="1:7" s="10" customFormat="1" ht="16.5">
      <c r="A330" s="26"/>
      <c r="D330" s="77"/>
      <c r="E330" s="27"/>
      <c r="F330" s="28"/>
      <c r="G330" s="29"/>
    </row>
    <row r="331" spans="1:7" s="10" customFormat="1" ht="16.5">
      <c r="A331" s="26"/>
      <c r="D331" s="77"/>
      <c r="E331" s="27"/>
      <c r="F331" s="28"/>
      <c r="G331" s="29"/>
    </row>
  </sheetData>
  <sheetProtection/>
  <mergeCells count="6">
    <mergeCell ref="A1:G1"/>
    <mergeCell ref="A2:G2"/>
    <mergeCell ref="A3:A4"/>
    <mergeCell ref="B3:B4"/>
    <mergeCell ref="C3:C4"/>
    <mergeCell ref="D3:G3"/>
  </mergeCells>
  <printOptions/>
  <pageMargins left="0.7" right="0.2" top="1.02" bottom="0.65" header="0.3" footer="0.3"/>
  <pageSetup horizontalDpi="600" verticalDpi="600" orientation="portrait" paperSize="9" scale="75"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2020-04-21T08:54:41Z</cp:lastPrinted>
  <dcterms:created xsi:type="dcterms:W3CDTF">2014-10-13T09:26:16Z</dcterms:created>
  <dcterms:modified xsi:type="dcterms:W3CDTF">2020-04-21T08:57:27Z</dcterms:modified>
  <cp:category/>
  <cp:version/>
  <cp:contentType/>
  <cp:contentStatus/>
</cp:coreProperties>
</file>